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грудень" sheetId="1" r:id="rId1"/>
    <sheet name="листопад" sheetId="2" r:id="rId2"/>
    <sheet name="жовтень" sheetId="3" r:id="rId3"/>
    <sheet name="вересень" sheetId="4" r:id="rId4"/>
    <sheet name="серпень" sheetId="5" r:id="rId5"/>
    <sheet name="липень" sheetId="6" r:id="rId6"/>
    <sheet name="червень" sheetId="7" r:id="rId7"/>
    <sheet name="травень" sheetId="8" r:id="rId8"/>
    <sheet name="квітень" sheetId="9" r:id="rId9"/>
    <sheet name="березень" sheetId="10" r:id="rId10"/>
    <sheet name="лютий" sheetId="11" r:id="rId11"/>
    <sheet name="січень-2" sheetId="12" r:id="rId12"/>
    <sheet name="січень" sheetId="13" r:id="rId13"/>
  </sheets>
  <externalReferences>
    <externalReference r:id="rId16"/>
  </externalReferences>
  <definedNames>
    <definedName name="_xlnm.Print_Area" localSheetId="12">'січень'!$A$1:$R$87</definedName>
    <definedName name="_xlnm.Print_Area" localSheetId="6">'червень'!$B$2:$J$85</definedName>
  </definedNames>
  <calcPr fullCalcOnLoad="1"/>
</workbook>
</file>

<file path=xl/sharedStrings.xml><?xml version="1.0" encoding="utf-8"?>
<sst xmlns="http://schemas.openxmlformats.org/spreadsheetml/2006/main" count="1700" uniqueCount="236">
  <si>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</si>
  <si>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</si>
  <si>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</si>
  <si>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</si>
  <si>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</si>
  <si>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</si>
  <si>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</si>
  <si>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</si>
  <si>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</si>
  <si>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</si>
  <si>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</si>
  <si>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</si>
  <si>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</si>
  <si>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</si>
  <si>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</si>
  <si>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</si>
  <si>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</si>
  <si>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</si>
  <si>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</si>
  <si>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</si>
  <si>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</si>
  <si>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</si>
  <si>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</si>
  <si>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</si>
  <si>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</si>
  <si>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</si>
  <si>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</si>
  <si>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</si>
  <si>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</si>
  <si>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</si>
  <si>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</si>
  <si>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</si>
  <si>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</si>
  <si>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</si>
  <si>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</si>
  <si>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</si>
  <si>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</si>
  <si>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</si>
  <si>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</si>
  <si>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</si>
  <si>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</si>
  <si>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</si>
  <si>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</si>
  <si>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</si>
  <si>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</si>
  <si>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</si>
  <si>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</si>
  <si>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</si>
  <si>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</si>
  <si>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</si>
  <si>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</si>
  <si>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</si>
  <si>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</si>
  <si>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</si>
  <si>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</si>
  <si>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</si>
  <si>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</si>
  <si>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</si>
  <si>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</si>
  <si>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</si>
  <si>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</si>
  <si>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</si>
  <si>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</si>
  <si>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</si>
  <si>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</si>
  <si>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</si>
  <si>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</si>
  <si>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</si>
  <si>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</si>
  <si>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</si>
  <si>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</si>
  <si>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</si>
  <si>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</si>
  <si>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</si>
  <si>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</si>
  <si>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</si>
  <si>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</si>
  <si>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</si>
  <si>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</si>
  <si>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</si>
  <si>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</si>
  <si>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</si>
  <si>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</si>
  <si>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</si>
  <si>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</si>
  <si>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</si>
  <si>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</si>
  <si>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</si>
  <si>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</si>
  <si>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</si>
  <si>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</si>
  <si>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</si>
  <si>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</si>
  <si>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</si>
  <si>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</si>
  <si>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</si>
  <si>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</si>
  <si>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</si>
  <si>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</si>
  <si>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</si>
  <si>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</si>
  <si>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</si>
  <si>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</si>
  <si>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</si>
  <si>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</si>
  <si>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</si>
  <si>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</si>
  <si>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</si>
  <si>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</si>
  <si>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</si>
  <si>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</si>
  <si>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</si>
  <si>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</si>
  <si>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</si>
  <si>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</si>
  <si>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</si>
  <si>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</si>
  <si>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</si>
  <si>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</si>
  <si>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</si>
  <si>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</si>
  <si>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</si>
  <si>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</si>
  <si>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</si>
  <si>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</si>
  <si>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</si>
  <si>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</si>
  <si>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</si>
  <si>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</si>
  <si>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</si>
  <si>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</si>
  <si>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</si>
  <si>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</si>
  <si>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</si>
  <si>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</si>
  <si>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</si>
  <si>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</si>
  <si>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</si>
  <si>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</si>
  <si>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</si>
  <si>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</si>
  <si>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</si>
  <si>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</si>
  <si>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</si>
  <si>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</si>
  <si>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</si>
  <si>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</si>
  <si>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</si>
  <si>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</si>
  <si>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</si>
  <si>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</si>
  <si>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</si>
  <si>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</si>
  <si>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</si>
  <si>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</si>
  <si>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</si>
  <si>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</si>
  <si>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</si>
  <si>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</si>
  <si>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</si>
  <si>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</si>
  <si>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</si>
  <si>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</si>
  <si>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</si>
  <si>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</si>
  <si>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</si>
  <si>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</si>
  <si>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</si>
  <si>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</si>
  <si>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</si>
  <si>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</si>
  <si>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</si>
  <si>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</si>
  <si>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</si>
  <si>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</si>
  <si>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</si>
  <si>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</si>
  <si>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</si>
  <si>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</si>
  <si>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</si>
  <si>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</si>
  <si>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</si>
  <si>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</si>
  <si>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</si>
  <si>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</si>
  <si>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</si>
  <si>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</si>
  <si>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</si>
  <si>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</si>
  <si>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</si>
  <si>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</si>
  <si>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</si>
  <si>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</si>
  <si>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</si>
  <si>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</si>
  <si>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</si>
  <si>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</si>
  <si>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</si>
  <si>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</si>
  <si>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</si>
  <si>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</si>
  <si>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</si>
  <si>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</si>
  <si>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</si>
  <si>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</si>
  <si>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</si>
  <si>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</si>
  <si>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30.09.16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</si>
  <si>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</si>
  <si>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</si>
  <si>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</t>
    </r>
  </si>
  <si>
    <t>Відхилення (+,-) до  плану на січень-жовтень 2016 року</t>
  </si>
  <si>
    <t>% виконання  плану на січень-жовтень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</si>
  <si>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</si>
  <si>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</si>
  <si>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31.10.16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</si>
  <si>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</si>
  <si>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Виконано у листопаді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</si>
  <si>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2016 та 2015 років</t>
    </r>
  </si>
  <si>
    <t>податки, що контролюються ДПІ</t>
  </si>
  <si>
    <t>податки, що не контролюються ДПІ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</si>
  <si>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</si>
  <si>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01.12.2016</t>
    </r>
    <r>
      <rPr>
        <b/>
        <sz val="16"/>
        <rFont val="Times New Roman"/>
        <family val="1"/>
      </rPr>
      <t>р.</t>
    </r>
  </si>
  <si>
    <t>Відхилення (+,-) до  плану на січень-грудень 2016 року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</si>
  <si>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</si>
  <si>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</si>
  <si>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</si>
  <si>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</si>
  <si>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</si>
  <si>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</si>
  <si>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</si>
  <si>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</si>
  <si>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</si>
  <si>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</si>
  <si>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28.12.16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</si>
  <si>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29.12.2016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</si>
</sst>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0" fontId="3" fillId="0" borderId="0" xfId="54" applyFont="1" applyAlignment="1" applyProtection="1">
      <alignment horizontal="center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1.11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4">
        <row r="6">
          <cell r="G6">
            <v>61972121.51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103"/>
  <sheetViews>
    <sheetView tabSelected="1" zoomScale="76" zoomScaleNormal="76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hidden="1" customWidth="1"/>
    <col min="6" max="6" width="13.875" style="124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2.125" style="4" customWidth="1"/>
    <col min="18" max="18" width="11.00390625" style="4" hidden="1" customWidth="1"/>
    <col min="19" max="19" width="11.00390625" style="95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416" t="s">
        <v>235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M2" s="1" t="s">
        <v>24</v>
      </c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228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231</v>
      </c>
      <c r="O3" s="429" t="s">
        <v>227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229</v>
      </c>
      <c r="F4" s="432" t="s">
        <v>34</v>
      </c>
      <c r="G4" s="434" t="s">
        <v>230</v>
      </c>
      <c r="H4" s="427" t="s">
        <v>224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234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232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24" s="6" customFormat="1" ht="17.25">
      <c r="A8" s="7"/>
      <c r="B8" s="194" t="s">
        <v>9</v>
      </c>
      <c r="C8" s="75" t="s">
        <v>10</v>
      </c>
      <c r="D8" s="191">
        <f>D9+D15+D18+D19+D20+D37+D17</f>
        <v>975359.8500000001</v>
      </c>
      <c r="E8" s="191">
        <f>E9+E15+E18+E19+E20+E37+E17</f>
        <v>975359.8500000001</v>
      </c>
      <c r="F8" s="191">
        <f>F9+F15+F18+F19+F20+F37+F17</f>
        <v>973547.52</v>
      </c>
      <c r="G8" s="191">
        <f aca="true" t="shared" si="0" ref="G8:G37">F8-E8</f>
        <v>-1812.3300000000745</v>
      </c>
      <c r="H8" s="192">
        <f>F8/E8*100</f>
        <v>99.81418857870764</v>
      </c>
      <c r="I8" s="193">
        <f>F8-D8</f>
        <v>-1812.3300000000745</v>
      </c>
      <c r="J8" s="193">
        <f>F8/D8*100</f>
        <v>99.81418857870764</v>
      </c>
      <c r="K8" s="191">
        <v>672693.01</v>
      </c>
      <c r="L8" s="191">
        <f aca="true" t="shared" si="1" ref="L8:L51">F8-K8</f>
        <v>300854.51</v>
      </c>
      <c r="M8" s="250">
        <f aca="true" t="shared" si="2" ref="M8:M28">F8/K8</f>
        <v>1.4472389418763247</v>
      </c>
      <c r="N8" s="191">
        <f>N9+N15+N18+N19+N20+N17</f>
        <v>90938.00000000003</v>
      </c>
      <c r="O8" s="191">
        <f>O9+O15+O18+O19+O20+O17</f>
        <v>82949.05000000008</v>
      </c>
      <c r="P8" s="191">
        <f>O8-N8</f>
        <v>-7988.949999999953</v>
      </c>
      <c r="Q8" s="191">
        <f>O8/N8*100</f>
        <v>91.21494864633051</v>
      </c>
      <c r="R8" s="15" t="e">
        <f>#N/A</f>
        <v>#N/A</v>
      </c>
      <c r="S8" s="15" t="e">
        <f>#N/A</f>
        <v>#N/A</v>
      </c>
      <c r="X8" s="186"/>
    </row>
    <row r="9" spans="1:20" s="6" customFormat="1" ht="18">
      <c r="A9" s="8"/>
      <c r="B9" s="13" t="s">
        <v>82</v>
      </c>
      <c r="C9" s="48">
        <v>11010000</v>
      </c>
      <c r="D9" s="190">
        <f>530589+7005.4</f>
        <v>537594.4</v>
      </c>
      <c r="E9" s="190">
        <f>D9</f>
        <v>537594.4</v>
      </c>
      <c r="F9" s="196">
        <v>538109.15</v>
      </c>
      <c r="G9" s="190">
        <f t="shared" si="0"/>
        <v>514.75</v>
      </c>
      <c r="H9" s="197">
        <f>F9/E9*100</f>
        <v>100.09575062537854</v>
      </c>
      <c r="I9" s="198">
        <f>F9-D9</f>
        <v>514.75</v>
      </c>
      <c r="J9" s="198">
        <f>F9/D9*100</f>
        <v>100.09575062537854</v>
      </c>
      <c r="K9" s="412">
        <v>372804.54</v>
      </c>
      <c r="L9" s="199">
        <f t="shared" si="1"/>
        <v>165304.61000000004</v>
      </c>
      <c r="M9" s="251">
        <f t="shared" si="2"/>
        <v>1.4434082535582857</v>
      </c>
      <c r="N9" s="197">
        <f>E9-листопад!E9</f>
        <v>55873.73000000004</v>
      </c>
      <c r="O9" s="200">
        <f>F9-листопад!F9</f>
        <v>58066.40000000002</v>
      </c>
      <c r="P9" s="201">
        <f>O9-N9</f>
        <v>2192.6699999999837</v>
      </c>
      <c r="Q9" s="198">
        <f>O9/N9*100</f>
        <v>103.92433080805591</v>
      </c>
      <c r="R9" s="106"/>
      <c r="S9" s="107"/>
      <c r="T9" s="186">
        <f>D9-E9</f>
        <v>0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f aca="true" t="shared" si="3" ref="E10:E19">D10</f>
        <v>485209</v>
      </c>
      <c r="F10" s="171">
        <v>472660.47</v>
      </c>
      <c r="G10" s="109">
        <f t="shared" si="0"/>
        <v>-12548.530000000028</v>
      </c>
      <c r="H10" s="32">
        <f aca="true" t="shared" si="4" ref="H10:H36">F10/E10*100</f>
        <v>97.4137886972418</v>
      </c>
      <c r="I10" s="110">
        <f aca="true" t="shared" si="5" ref="I10:I37">F10-D10</f>
        <v>-12548.530000000028</v>
      </c>
      <c r="J10" s="110">
        <f aca="true" t="shared" si="6" ref="J10:J36">F10/D10*100</f>
        <v>97.4137886972418</v>
      </c>
      <c r="K10" s="112">
        <v>329938.9</v>
      </c>
      <c r="L10" s="112">
        <f t="shared" si="1"/>
        <v>142721.56999999995</v>
      </c>
      <c r="M10" s="252">
        <f t="shared" si="2"/>
        <v>1.4325696969954131</v>
      </c>
      <c r="N10" s="111">
        <f>E10-листопад!E10</f>
        <v>47758.76000000001</v>
      </c>
      <c r="O10" s="179">
        <f>F10-листопад!F10</f>
        <v>50525.669999999984</v>
      </c>
      <c r="P10" s="112">
        <f aca="true" t="shared" si="7" ref="P10:P37">O10-N10</f>
        <v>2766.9099999999744</v>
      </c>
      <c r="Q10" s="198">
        <f aca="true" t="shared" si="8" ref="Q10:Q16">O10/N10*100</f>
        <v>105.7935130644095</v>
      </c>
      <c r="R10" s="42"/>
      <c r="S10" s="100"/>
      <c r="T10" s="186">
        <f aca="true" t="shared" si="9" ref="T10:T73">D10-E10</f>
        <v>0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f>23000+7005.4</f>
        <v>30005.4</v>
      </c>
      <c r="E11" s="109">
        <f t="shared" si="3"/>
        <v>30005.4</v>
      </c>
      <c r="F11" s="171">
        <v>42401.33</v>
      </c>
      <c r="G11" s="109">
        <f t="shared" si="0"/>
        <v>12395.93</v>
      </c>
      <c r="H11" s="32">
        <f t="shared" si="4"/>
        <v>141.31233044718616</v>
      </c>
      <c r="I11" s="110">
        <f t="shared" si="5"/>
        <v>12395.93</v>
      </c>
      <c r="J11" s="110">
        <f t="shared" si="6"/>
        <v>141.31233044718616</v>
      </c>
      <c r="K11" s="112">
        <v>20742.02</v>
      </c>
      <c r="L11" s="112">
        <f t="shared" si="1"/>
        <v>21659.31</v>
      </c>
      <c r="M11" s="252">
        <f t="shared" si="2"/>
        <v>2.0442237544848574</v>
      </c>
      <c r="N11" s="111">
        <f>E11-листопад!E11</f>
        <v>7090.460000000003</v>
      </c>
      <c r="O11" s="179">
        <f>F11-листопад!F11</f>
        <v>5679.610000000001</v>
      </c>
      <c r="P11" s="112">
        <f t="shared" si="7"/>
        <v>-1410.8500000000022</v>
      </c>
      <c r="Q11" s="198">
        <f t="shared" si="8"/>
        <v>80.10213723792248</v>
      </c>
      <c r="R11" s="42"/>
      <c r="S11" s="100"/>
      <c r="T11" s="186">
        <f t="shared" si="9"/>
        <v>0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f t="shared" si="3"/>
        <v>6500</v>
      </c>
      <c r="F12" s="171">
        <v>10502.25</v>
      </c>
      <c r="G12" s="109">
        <f t="shared" si="0"/>
        <v>4002.25</v>
      </c>
      <c r="H12" s="32">
        <f t="shared" si="4"/>
        <v>161.5730769230769</v>
      </c>
      <c r="I12" s="110">
        <f t="shared" si="5"/>
        <v>4002.25</v>
      </c>
      <c r="J12" s="110">
        <f t="shared" si="6"/>
        <v>161.5730769230769</v>
      </c>
      <c r="K12" s="112">
        <v>5604.18</v>
      </c>
      <c r="L12" s="112">
        <f t="shared" si="1"/>
        <v>4898.07</v>
      </c>
      <c r="M12" s="252">
        <f t="shared" si="2"/>
        <v>1.8740029763497958</v>
      </c>
      <c r="N12" s="111">
        <f>E12-листопад!E12</f>
        <v>39.39000000000033</v>
      </c>
      <c r="O12" s="179">
        <f>F12-листопад!F12</f>
        <v>1184.3199999999997</v>
      </c>
      <c r="P12" s="112">
        <f t="shared" si="7"/>
        <v>1144.9299999999994</v>
      </c>
      <c r="Q12" s="198">
        <f t="shared" si="8"/>
        <v>3006.651434374181</v>
      </c>
      <c r="R12" s="42"/>
      <c r="S12" s="100"/>
      <c r="T12" s="186">
        <f t="shared" si="9"/>
        <v>0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f t="shared" si="3"/>
        <v>12400</v>
      </c>
      <c r="F13" s="171">
        <v>9424.36</v>
      </c>
      <c r="G13" s="109">
        <f t="shared" si="0"/>
        <v>-2975.6399999999994</v>
      </c>
      <c r="H13" s="32">
        <f t="shared" si="4"/>
        <v>76.00290322580646</v>
      </c>
      <c r="I13" s="110">
        <f t="shared" si="5"/>
        <v>-2975.6399999999994</v>
      </c>
      <c r="J13" s="110">
        <f t="shared" si="6"/>
        <v>76.00290322580646</v>
      </c>
      <c r="K13" s="112">
        <v>7282.62</v>
      </c>
      <c r="L13" s="112">
        <f t="shared" si="1"/>
        <v>2141.7400000000007</v>
      </c>
      <c r="M13" s="252">
        <f t="shared" si="2"/>
        <v>1.294089215145099</v>
      </c>
      <c r="N13" s="111">
        <f>E13-листопад!E13</f>
        <v>985.1599999999999</v>
      </c>
      <c r="O13" s="179">
        <f>F13-листопад!F13</f>
        <v>524.2300000000014</v>
      </c>
      <c r="P13" s="112">
        <f t="shared" si="7"/>
        <v>-460.9299999999985</v>
      </c>
      <c r="Q13" s="198">
        <f t="shared" si="8"/>
        <v>53.21267611352486</v>
      </c>
      <c r="R13" s="42"/>
      <c r="S13" s="100"/>
      <c r="T13" s="186">
        <f t="shared" si="9"/>
        <v>0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f t="shared" si="3"/>
        <v>3480</v>
      </c>
      <c r="F14" s="171">
        <v>3120.73</v>
      </c>
      <c r="G14" s="109">
        <f t="shared" si="0"/>
        <v>-359.27</v>
      </c>
      <c r="H14" s="32">
        <f t="shared" si="4"/>
        <v>89.67614942528735</v>
      </c>
      <c r="I14" s="110">
        <f t="shared" si="5"/>
        <v>-359.27</v>
      </c>
      <c r="J14" s="110">
        <f t="shared" si="6"/>
        <v>89.67614942528735</v>
      </c>
      <c r="K14" s="112">
        <v>9236.82</v>
      </c>
      <c r="L14" s="112">
        <f t="shared" si="1"/>
        <v>-6116.09</v>
      </c>
      <c r="M14" s="252">
        <f t="shared" si="2"/>
        <v>0.337857617664954</v>
      </c>
      <c r="N14" s="111">
        <f>E14-листопад!E14</f>
        <v>-0.03999999999996362</v>
      </c>
      <c r="O14" s="179">
        <f>F14-листопад!F14</f>
        <v>152.57000000000016</v>
      </c>
      <c r="P14" s="112">
        <f t="shared" si="7"/>
        <v>152.61000000000013</v>
      </c>
      <c r="Q14" s="198">
        <f t="shared" si="8"/>
        <v>-381425.0000003473</v>
      </c>
      <c r="R14" s="42"/>
      <c r="S14" s="100"/>
      <c r="T14" s="186">
        <f t="shared" si="9"/>
        <v>0</v>
      </c>
      <c r="U14" s="273">
        <v>2880</v>
      </c>
      <c r="V14" s="186"/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f t="shared" si="3"/>
        <v>500</v>
      </c>
      <c r="F15" s="196">
        <v>459.29</v>
      </c>
      <c r="G15" s="190">
        <f t="shared" si="0"/>
        <v>-40.70999999999998</v>
      </c>
      <c r="H15" s="197">
        <f>F15/E15*100</f>
        <v>91.858</v>
      </c>
      <c r="I15" s="198">
        <f t="shared" si="5"/>
        <v>-40.70999999999998</v>
      </c>
      <c r="J15" s="198">
        <f t="shared" si="6"/>
        <v>91.858</v>
      </c>
      <c r="K15" s="201">
        <v>-522.93</v>
      </c>
      <c r="L15" s="201">
        <f t="shared" si="1"/>
        <v>982.22</v>
      </c>
      <c r="M15" s="253">
        <f t="shared" si="2"/>
        <v>-0.8783011110473679</v>
      </c>
      <c r="N15" s="197">
        <f>E15-листопад!E15</f>
        <v>5</v>
      </c>
      <c r="O15" s="200">
        <f>F15-листопад!F15</f>
        <v>51.18000000000001</v>
      </c>
      <c r="P15" s="201">
        <f t="shared" si="7"/>
        <v>46.18000000000001</v>
      </c>
      <c r="Q15" s="198">
        <f t="shared" si="8"/>
        <v>1023.6</v>
      </c>
      <c r="R15" s="42"/>
      <c r="S15" s="100"/>
      <c r="T15" s="186">
        <f t="shared" si="9"/>
        <v>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90">
        <f t="shared" si="3"/>
        <v>0</v>
      </c>
      <c r="F16" s="171">
        <v>0</v>
      </c>
      <c r="G16" s="36">
        <f t="shared" si="0"/>
        <v>0</v>
      </c>
      <c r="H16" s="32" t="e">
        <f t="shared" si="4"/>
        <v>#DIV/0!</v>
      </c>
      <c r="I16" s="42">
        <f t="shared" si="5"/>
        <v>0</v>
      </c>
      <c r="J16" s="42" t="e">
        <f t="shared" si="6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E16-листопад!E16</f>
        <v>0</v>
      </c>
      <c r="O16" s="200">
        <f>F16-листопад!F16</f>
        <v>0</v>
      </c>
      <c r="P16" s="40">
        <f t="shared" si="7"/>
        <v>0</v>
      </c>
      <c r="Q16" s="198" t="e">
        <f t="shared" si="8"/>
        <v>#DIV/0!</v>
      </c>
      <c r="R16" s="110">
        <f>O16-358.81</f>
        <v>-358.81</v>
      </c>
      <c r="S16" s="115">
        <f>O16/358.79</f>
        <v>0</v>
      </c>
      <c r="T16" s="186">
        <f t="shared" si="9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190">
        <f t="shared" si="3"/>
        <v>0</v>
      </c>
      <c r="F17" s="203">
        <v>0.17</v>
      </c>
      <c r="G17" s="202">
        <f t="shared" si="0"/>
        <v>0.17</v>
      </c>
      <c r="H17" s="204"/>
      <c r="I17" s="205">
        <f t="shared" si="5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E17-листопад!E17</f>
        <v>0</v>
      </c>
      <c r="O17" s="200">
        <f>F17-листопад!F17</f>
        <v>0</v>
      </c>
      <c r="P17" s="207">
        <f t="shared" si="7"/>
        <v>0</v>
      </c>
      <c r="Q17" s="198"/>
      <c r="R17" s="110"/>
      <c r="S17" s="115"/>
      <c r="T17" s="186">
        <f t="shared" si="9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f t="shared" si="3"/>
        <v>105.8</v>
      </c>
      <c r="F18" s="196">
        <v>124.7</v>
      </c>
      <c r="G18" s="190">
        <f t="shared" si="0"/>
        <v>18.900000000000006</v>
      </c>
      <c r="H18" s="197">
        <f t="shared" si="4"/>
        <v>117.86389413988658</v>
      </c>
      <c r="I18" s="198">
        <f t="shared" si="5"/>
        <v>18.900000000000006</v>
      </c>
      <c r="J18" s="198">
        <f t="shared" si="6"/>
        <v>117.86389413988658</v>
      </c>
      <c r="K18" s="201">
        <v>107.4</v>
      </c>
      <c r="L18" s="201">
        <f t="shared" si="1"/>
        <v>17.299999999999997</v>
      </c>
      <c r="M18" s="253">
        <f t="shared" si="2"/>
        <v>1.1610800744878957</v>
      </c>
      <c r="N18" s="197">
        <f>E18-листопад!E18</f>
        <v>0</v>
      </c>
      <c r="O18" s="200">
        <f>F18-листопад!F18</f>
        <v>0</v>
      </c>
      <c r="P18" s="201">
        <f t="shared" si="7"/>
        <v>0</v>
      </c>
      <c r="Q18" s="198"/>
      <c r="R18" s="42"/>
      <c r="S18" s="100"/>
      <c r="T18" s="186">
        <f t="shared" si="9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f>109900-8900</f>
        <v>101000</v>
      </c>
      <c r="E19" s="190">
        <f t="shared" si="3"/>
        <v>101000</v>
      </c>
      <c r="F19" s="196">
        <v>97910.96</v>
      </c>
      <c r="G19" s="190">
        <f t="shared" si="0"/>
        <v>-3089.0399999999936</v>
      </c>
      <c r="H19" s="197">
        <f t="shared" si="4"/>
        <v>96.94154455445545</v>
      </c>
      <c r="I19" s="198">
        <f t="shared" si="5"/>
        <v>-3089.0399999999936</v>
      </c>
      <c r="J19" s="198">
        <f t="shared" si="6"/>
        <v>96.94154455445545</v>
      </c>
      <c r="K19" s="209">
        <v>70426.38</v>
      </c>
      <c r="L19" s="201">
        <f t="shared" si="1"/>
        <v>27484.58</v>
      </c>
      <c r="M19" s="259">
        <f t="shared" si="2"/>
        <v>1.3902597293798147</v>
      </c>
      <c r="N19" s="197">
        <f>E19-листопад!E19</f>
        <v>-400.3999999999942</v>
      </c>
      <c r="O19" s="200">
        <f>F19-листопад!F19</f>
        <v>5119.170000000013</v>
      </c>
      <c r="P19" s="201">
        <f t="shared" si="7"/>
        <v>5519.570000000007</v>
      </c>
      <c r="Q19" s="198">
        <f aca="true" t="shared" si="10" ref="Q19:Q24">O19/N19*100</f>
        <v>-1278.5139860140077</v>
      </c>
      <c r="R19" s="113"/>
      <c r="S19" s="114"/>
      <c r="T19" s="186">
        <f t="shared" si="9"/>
        <v>0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336159.65</v>
      </c>
      <c r="E20" s="190">
        <f>E21+E30+E32+E29</f>
        <v>336159.65</v>
      </c>
      <c r="F20" s="272">
        <f>F21+F29+F30+F31+F32</f>
        <v>336943.25</v>
      </c>
      <c r="G20" s="190">
        <f t="shared" si="0"/>
        <v>783.5999999999767</v>
      </c>
      <c r="H20" s="197">
        <f t="shared" si="4"/>
        <v>100.233103526851</v>
      </c>
      <c r="I20" s="198">
        <f t="shared" si="5"/>
        <v>783.5999999999767</v>
      </c>
      <c r="J20" s="198">
        <f t="shared" si="6"/>
        <v>100.233103526851</v>
      </c>
      <c r="K20" s="198">
        <v>223108.59</v>
      </c>
      <c r="L20" s="201">
        <f t="shared" si="1"/>
        <v>113834.66</v>
      </c>
      <c r="M20" s="254">
        <f t="shared" si="2"/>
        <v>1.5102208749560024</v>
      </c>
      <c r="N20" s="197">
        <f>N21+N30+N31+N32</f>
        <v>35459.669999999984</v>
      </c>
      <c r="O20" s="200">
        <f>F20-листопад!F20</f>
        <v>19712.300000000047</v>
      </c>
      <c r="P20" s="201">
        <f t="shared" si="7"/>
        <v>-15747.369999999937</v>
      </c>
      <c r="Q20" s="198">
        <f t="shared" si="10"/>
        <v>55.59075986888783</v>
      </c>
      <c r="R20" s="113"/>
      <c r="S20" s="114"/>
      <c r="T20" s="186">
        <f t="shared" si="9"/>
        <v>0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180544.65</v>
      </c>
      <c r="E21" s="190">
        <f>E22+E25+E26</f>
        <v>180544.65</v>
      </c>
      <c r="F21" s="211">
        <f>F22+F25+F26</f>
        <v>179634.52000000002</v>
      </c>
      <c r="G21" s="190">
        <f t="shared" si="0"/>
        <v>-910.1299999999756</v>
      </c>
      <c r="H21" s="197">
        <f t="shared" si="4"/>
        <v>99.49589755221217</v>
      </c>
      <c r="I21" s="198">
        <f t="shared" si="5"/>
        <v>-910.1299999999756</v>
      </c>
      <c r="J21" s="198">
        <f t="shared" si="6"/>
        <v>99.49589755221217</v>
      </c>
      <c r="K21" s="198">
        <v>119601.42</v>
      </c>
      <c r="L21" s="201">
        <f t="shared" si="1"/>
        <v>60033.10000000002</v>
      </c>
      <c r="M21" s="254">
        <f t="shared" si="2"/>
        <v>1.5019430371311646</v>
      </c>
      <c r="N21" s="197">
        <f>N22+N25+N26</f>
        <v>17581.22999999998</v>
      </c>
      <c r="O21" s="200">
        <f>F21-листопад!F21</f>
        <v>12374.420000000013</v>
      </c>
      <c r="P21" s="201">
        <f t="shared" si="7"/>
        <v>-5206.809999999969</v>
      </c>
      <c r="Q21" s="198">
        <f t="shared" si="10"/>
        <v>70.38426776738616</v>
      </c>
      <c r="R21" s="113"/>
      <c r="S21" s="114"/>
      <c r="T21" s="186">
        <f t="shared" si="9"/>
        <v>0</v>
      </c>
    </row>
    <row r="22" spans="1:21" s="6" customFormat="1" ht="18">
      <c r="A22" s="8"/>
      <c r="B22" s="55" t="s">
        <v>77</v>
      </c>
      <c r="C22" s="138"/>
      <c r="D22" s="212">
        <f>18500+2500</f>
        <v>21000</v>
      </c>
      <c r="E22" s="212">
        <f aca="true" t="shared" si="11" ref="E22:E30">D22</f>
        <v>21000</v>
      </c>
      <c r="F22" s="213">
        <v>21195.6</v>
      </c>
      <c r="G22" s="212">
        <f t="shared" si="0"/>
        <v>195.59999999999854</v>
      </c>
      <c r="H22" s="214">
        <f t="shared" si="4"/>
        <v>100.93142857142855</v>
      </c>
      <c r="I22" s="215">
        <f t="shared" si="5"/>
        <v>195.59999999999854</v>
      </c>
      <c r="J22" s="215">
        <f t="shared" si="6"/>
        <v>100.93142857142855</v>
      </c>
      <c r="K22" s="216">
        <v>13340.12</v>
      </c>
      <c r="L22" s="206">
        <f t="shared" si="1"/>
        <v>7855.479999999998</v>
      </c>
      <c r="M22" s="262">
        <f t="shared" si="2"/>
        <v>1.5888612696137663</v>
      </c>
      <c r="N22" s="214">
        <f>E22-листопад!E22</f>
        <v>3275.5999999999985</v>
      </c>
      <c r="O22" s="217">
        <f>F22-листопад!F22</f>
        <v>459.4399999999987</v>
      </c>
      <c r="P22" s="218">
        <f t="shared" si="7"/>
        <v>-2816.16</v>
      </c>
      <c r="Q22" s="215">
        <f t="shared" si="10"/>
        <v>14.02613261692511</v>
      </c>
      <c r="R22" s="113"/>
      <c r="S22" s="114"/>
      <c r="T22" s="186">
        <f t="shared" si="9"/>
        <v>0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f t="shared" si="11"/>
        <v>2000</v>
      </c>
      <c r="F23" s="203">
        <v>841.69</v>
      </c>
      <c r="G23" s="241">
        <f t="shared" si="0"/>
        <v>-1158.31</v>
      </c>
      <c r="H23" s="242">
        <f t="shared" si="4"/>
        <v>42.084500000000006</v>
      </c>
      <c r="I23" s="243">
        <f t="shared" si="5"/>
        <v>-1158.31</v>
      </c>
      <c r="J23" s="243">
        <f t="shared" si="6"/>
        <v>42.084500000000006</v>
      </c>
      <c r="K23" s="243">
        <v>716.11</v>
      </c>
      <c r="L23" s="243">
        <f t="shared" si="1"/>
        <v>125.58000000000004</v>
      </c>
      <c r="M23" s="413">
        <f t="shared" si="2"/>
        <v>1.1753641200374245</v>
      </c>
      <c r="N23" s="242">
        <f>E23-листопад!E23</f>
        <v>575.5999999999999</v>
      </c>
      <c r="O23" s="242">
        <f>F23-листопад!F23</f>
        <v>24.840000000000032</v>
      </c>
      <c r="P23" s="243">
        <f t="shared" si="7"/>
        <v>-550.7599999999999</v>
      </c>
      <c r="Q23" s="243">
        <f t="shared" si="10"/>
        <v>4.315496872828359</v>
      </c>
      <c r="R23" s="113"/>
      <c r="S23" s="114"/>
      <c r="T23" s="186">
        <f t="shared" si="9"/>
        <v>0</v>
      </c>
      <c r="U23" s="186"/>
    </row>
    <row r="24" spans="1:21" s="6" customFormat="1" ht="18" hidden="1">
      <c r="A24" s="8"/>
      <c r="B24" s="237" t="s">
        <v>165</v>
      </c>
      <c r="C24" s="238"/>
      <c r="D24" s="241">
        <f>16500+2500</f>
        <v>19000</v>
      </c>
      <c r="E24" s="241">
        <f t="shared" si="11"/>
        <v>19000</v>
      </c>
      <c r="F24" s="203">
        <v>20353.91</v>
      </c>
      <c r="G24" s="241">
        <f t="shared" si="0"/>
        <v>1353.9099999999999</v>
      </c>
      <c r="H24" s="242">
        <f t="shared" si="4"/>
        <v>107.12584210526315</v>
      </c>
      <c r="I24" s="243">
        <f t="shared" si="5"/>
        <v>1353.9099999999999</v>
      </c>
      <c r="J24" s="243">
        <f t="shared" si="6"/>
        <v>107.12584210526315</v>
      </c>
      <c r="K24" s="243">
        <v>12624.02</v>
      </c>
      <c r="L24" s="243">
        <f t="shared" si="1"/>
        <v>7729.889999999999</v>
      </c>
      <c r="M24" s="413">
        <f t="shared" si="2"/>
        <v>1.6123160451266711</v>
      </c>
      <c r="N24" s="242">
        <f>E24-листопад!E24</f>
        <v>2700</v>
      </c>
      <c r="O24" s="242">
        <f>F24-листопад!F24</f>
        <v>434.59999999999854</v>
      </c>
      <c r="P24" s="243">
        <f t="shared" si="7"/>
        <v>-2265.4000000000015</v>
      </c>
      <c r="Q24" s="243">
        <f t="shared" si="10"/>
        <v>16.09629629629624</v>
      </c>
      <c r="R24" s="113"/>
      <c r="S24" s="114"/>
      <c r="T24" s="186">
        <f t="shared" si="9"/>
        <v>0</v>
      </c>
      <c r="U24" s="186"/>
    </row>
    <row r="25" spans="1:20" s="6" customFormat="1" ht="18">
      <c r="A25" s="8"/>
      <c r="B25" s="55" t="s">
        <v>78</v>
      </c>
      <c r="C25" s="138"/>
      <c r="D25" s="212">
        <f>1000-155</f>
        <v>845</v>
      </c>
      <c r="E25" s="212">
        <f t="shared" si="11"/>
        <v>845</v>
      </c>
      <c r="F25" s="213">
        <v>772.69</v>
      </c>
      <c r="G25" s="212">
        <f t="shared" si="0"/>
        <v>-72.30999999999995</v>
      </c>
      <c r="H25" s="214">
        <f t="shared" si="4"/>
        <v>91.44260355029587</v>
      </c>
      <c r="I25" s="215">
        <f t="shared" si="5"/>
        <v>-72.30999999999995</v>
      </c>
      <c r="J25" s="215">
        <f t="shared" si="6"/>
        <v>91.44260355029587</v>
      </c>
      <c r="K25" s="215">
        <v>3879.26</v>
      </c>
      <c r="L25" s="215">
        <f t="shared" si="1"/>
        <v>-3106.57</v>
      </c>
      <c r="M25" s="257">
        <f t="shared" si="2"/>
        <v>0.19918489608842924</v>
      </c>
      <c r="N25" s="214">
        <f>E25-листопад!E25</f>
        <v>-135.03999999999996</v>
      </c>
      <c r="O25" s="217">
        <f>F25-листопад!F25</f>
        <v>-14.67999999999995</v>
      </c>
      <c r="P25" s="218">
        <f t="shared" si="7"/>
        <v>120.36000000000001</v>
      </c>
      <c r="Q25" s="215"/>
      <c r="R25" s="113"/>
      <c r="S25" s="114"/>
      <c r="T25" s="186">
        <f t="shared" si="9"/>
        <v>0</v>
      </c>
    </row>
    <row r="26" spans="1:20" s="6" customFormat="1" ht="18">
      <c r="A26" s="8"/>
      <c r="B26" s="55" t="s">
        <v>79</v>
      </c>
      <c r="C26" s="138"/>
      <c r="D26" s="212">
        <v>158699.65</v>
      </c>
      <c r="E26" s="212">
        <f t="shared" si="11"/>
        <v>158699.65</v>
      </c>
      <c r="F26" s="213">
        <v>157666.23</v>
      </c>
      <c r="G26" s="212">
        <f t="shared" si="0"/>
        <v>-1033.4199999999837</v>
      </c>
      <c r="H26" s="214">
        <f t="shared" si="4"/>
        <v>99.34882023999424</v>
      </c>
      <c r="I26" s="215">
        <f t="shared" si="5"/>
        <v>-1033.4199999999837</v>
      </c>
      <c r="J26" s="215">
        <f t="shared" si="6"/>
        <v>99.34882023999424</v>
      </c>
      <c r="K26" s="216">
        <v>102382.03</v>
      </c>
      <c r="L26" s="216">
        <f t="shared" si="1"/>
        <v>55284.20000000001</v>
      </c>
      <c r="M26" s="256">
        <f t="shared" si="2"/>
        <v>1.539979525703876</v>
      </c>
      <c r="N26" s="214">
        <f>E26-листопад!E26</f>
        <v>14440.669999999984</v>
      </c>
      <c r="O26" s="217">
        <f>F26-листопад!F26</f>
        <v>11929.660000000003</v>
      </c>
      <c r="P26" s="218">
        <f t="shared" si="7"/>
        <v>-2511.00999999998</v>
      </c>
      <c r="Q26" s="215">
        <f>O26/N26*100</f>
        <v>82.61154087725858</v>
      </c>
      <c r="R26" s="113"/>
      <c r="S26" s="114"/>
      <c r="T26" s="186">
        <f t="shared" si="9"/>
        <v>0</v>
      </c>
    </row>
    <row r="27" spans="1:20" s="6" customFormat="1" ht="18" hidden="1">
      <c r="A27" s="8"/>
      <c r="B27" s="237" t="s">
        <v>166</v>
      </c>
      <c r="C27" s="238"/>
      <c r="D27" s="241">
        <f>47367+1218+1182</f>
        <v>49767</v>
      </c>
      <c r="E27" s="241">
        <f t="shared" si="11"/>
        <v>49767</v>
      </c>
      <c r="F27" s="203">
        <v>49044.18</v>
      </c>
      <c r="G27" s="241">
        <f t="shared" si="0"/>
        <v>-722.8199999999997</v>
      </c>
      <c r="H27" s="242">
        <f t="shared" si="4"/>
        <v>98.547591777684</v>
      </c>
      <c r="I27" s="243">
        <f t="shared" si="5"/>
        <v>-722.8199999999997</v>
      </c>
      <c r="J27" s="243">
        <f t="shared" si="6"/>
        <v>98.547591777684</v>
      </c>
      <c r="K27" s="243">
        <v>27811.39</v>
      </c>
      <c r="L27" s="243">
        <f t="shared" si="1"/>
        <v>21232.79</v>
      </c>
      <c r="M27" s="413">
        <f t="shared" si="2"/>
        <v>1.7634566269431338</v>
      </c>
      <c r="N27" s="242">
        <f>E27-листопад!E27</f>
        <v>5355.199999999997</v>
      </c>
      <c r="O27" s="242">
        <f>F27-листопад!F27</f>
        <v>3041.5599999999977</v>
      </c>
      <c r="P27" s="243">
        <f t="shared" si="7"/>
        <v>-2313.6399999999994</v>
      </c>
      <c r="Q27" s="243">
        <f>O27/N27*100</f>
        <v>56.79638482222885</v>
      </c>
      <c r="R27" s="113"/>
      <c r="S27" s="114"/>
      <c r="T27" s="186">
        <f t="shared" si="9"/>
        <v>0</v>
      </c>
    </row>
    <row r="28" spans="1:20" s="6" customFormat="1" ht="18" hidden="1">
      <c r="A28" s="8"/>
      <c r="B28" s="237" t="s">
        <v>167</v>
      </c>
      <c r="C28" s="238"/>
      <c r="D28" s="241">
        <f>108032.65+200+700</f>
        <v>108932.65</v>
      </c>
      <c r="E28" s="241">
        <f t="shared" si="11"/>
        <v>108932.65</v>
      </c>
      <c r="F28" s="203">
        <v>108622.06</v>
      </c>
      <c r="G28" s="241">
        <f t="shared" si="0"/>
        <v>-310.5899999999965</v>
      </c>
      <c r="H28" s="242">
        <f t="shared" si="4"/>
        <v>99.71487887240419</v>
      </c>
      <c r="I28" s="243">
        <f t="shared" si="5"/>
        <v>-310.5899999999965</v>
      </c>
      <c r="J28" s="243">
        <f t="shared" si="6"/>
        <v>99.71487887240419</v>
      </c>
      <c r="K28" s="243">
        <v>74570.64</v>
      </c>
      <c r="L28" s="243">
        <f t="shared" si="1"/>
        <v>34051.42</v>
      </c>
      <c r="M28" s="413">
        <f t="shared" si="2"/>
        <v>1.4566330663113525</v>
      </c>
      <c r="N28" s="242">
        <f>E28-листопад!E28</f>
        <v>9085.479999999996</v>
      </c>
      <c r="O28" s="242">
        <f>F28-листопад!F28</f>
        <v>8888.11</v>
      </c>
      <c r="P28" s="243">
        <f t="shared" si="7"/>
        <v>-197.36999999999534</v>
      </c>
      <c r="Q28" s="243">
        <f>O28/N28*100</f>
        <v>97.82763266222592</v>
      </c>
      <c r="R28" s="113"/>
      <c r="S28" s="114"/>
      <c r="T28" s="186">
        <f t="shared" si="9"/>
        <v>0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f t="shared" si="11"/>
        <v>0</v>
      </c>
      <c r="F29" s="242">
        <v>0.15</v>
      </c>
      <c r="G29" s="190">
        <f t="shared" si="0"/>
        <v>0.15</v>
      </c>
      <c r="H29" s="197"/>
      <c r="I29" s="198">
        <f t="shared" si="5"/>
        <v>0.15</v>
      </c>
      <c r="J29" s="198"/>
      <c r="K29" s="207">
        <v>0</v>
      </c>
      <c r="L29" s="198">
        <f t="shared" si="1"/>
        <v>0.15</v>
      </c>
      <c r="M29" s="255"/>
      <c r="N29" s="197">
        <f>E29-листопад!E29</f>
        <v>0</v>
      </c>
      <c r="O29" s="200">
        <f>F29-листопад!F29</f>
        <v>0</v>
      </c>
      <c r="P29" s="201">
        <f t="shared" si="7"/>
        <v>0</v>
      </c>
      <c r="Q29" s="198"/>
      <c r="R29" s="113"/>
      <c r="S29" s="114"/>
      <c r="T29" s="186">
        <f t="shared" si="9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f>77+38</f>
        <v>115</v>
      </c>
      <c r="E30" s="190">
        <f t="shared" si="11"/>
        <v>115</v>
      </c>
      <c r="F30" s="196">
        <v>117.68</v>
      </c>
      <c r="G30" s="190">
        <f t="shared" si="0"/>
        <v>2.680000000000007</v>
      </c>
      <c r="H30" s="197">
        <f t="shared" si="4"/>
        <v>102.3304347826087</v>
      </c>
      <c r="I30" s="198">
        <f t="shared" si="5"/>
        <v>2.680000000000007</v>
      </c>
      <c r="J30" s="198">
        <f t="shared" si="6"/>
        <v>102.3304347826087</v>
      </c>
      <c r="K30" s="198">
        <v>76.57</v>
      </c>
      <c r="L30" s="198">
        <f t="shared" si="1"/>
        <v>41.110000000000014</v>
      </c>
      <c r="M30" s="255">
        <f>F30/K30</f>
        <v>1.536894345043751</v>
      </c>
      <c r="N30" s="197">
        <f>E30-листопад!E30</f>
        <v>44.19</v>
      </c>
      <c r="O30" s="200">
        <f>F30-листопад!F30</f>
        <v>3</v>
      </c>
      <c r="P30" s="201">
        <f t="shared" si="7"/>
        <v>-41.19</v>
      </c>
      <c r="Q30" s="198">
        <f>O30/N30*100</f>
        <v>6.788866259334691</v>
      </c>
      <c r="R30" s="113"/>
      <c r="S30" s="114"/>
      <c r="T30" s="186">
        <f t="shared" si="9"/>
        <v>0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-178.46</v>
      </c>
      <c r="G31" s="190">
        <f t="shared" si="0"/>
        <v>-178.46</v>
      </c>
      <c r="H31" s="197"/>
      <c r="I31" s="198">
        <f t="shared" si="5"/>
        <v>-178.46</v>
      </c>
      <c r="J31" s="198"/>
      <c r="K31" s="198">
        <v>-838.98</v>
      </c>
      <c r="L31" s="198">
        <f t="shared" si="1"/>
        <v>660.52</v>
      </c>
      <c r="M31" s="255">
        <f>F31/K31</f>
        <v>0.21271067248325348</v>
      </c>
      <c r="N31" s="197">
        <f>E31-листопад!E31</f>
        <v>0</v>
      </c>
      <c r="O31" s="200">
        <f>F31-листопад!F31</f>
        <v>-4.490000000000009</v>
      </c>
      <c r="P31" s="201">
        <f t="shared" si="7"/>
        <v>-4.490000000000009</v>
      </c>
      <c r="Q31" s="198"/>
      <c r="R31" s="113"/>
      <c r="S31" s="114"/>
      <c r="T31" s="186">
        <f t="shared" si="9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118000+23000+4100+10400</f>
        <v>155500</v>
      </c>
      <c r="E32" s="202">
        <f>D32</f>
        <v>155500</v>
      </c>
      <c r="F32" s="203">
        <v>157369.36</v>
      </c>
      <c r="G32" s="202">
        <f t="shared" si="0"/>
        <v>1869.359999999986</v>
      </c>
      <c r="H32" s="204">
        <f t="shared" si="4"/>
        <v>101.20216077170416</v>
      </c>
      <c r="I32" s="205">
        <f t="shared" si="5"/>
        <v>1869.359999999986</v>
      </c>
      <c r="J32" s="205">
        <f t="shared" si="6"/>
        <v>101.20216077170416</v>
      </c>
      <c r="K32" s="219">
        <v>104269.58</v>
      </c>
      <c r="L32" s="219">
        <f>F32-K32</f>
        <v>53099.779999999984</v>
      </c>
      <c r="M32" s="411">
        <f>F32/K32</f>
        <v>1.5092547605926867</v>
      </c>
      <c r="N32" s="197">
        <f>E32-листопад!E32</f>
        <v>17834.25</v>
      </c>
      <c r="O32" s="200">
        <f>F32-листопад!F32</f>
        <v>7339.369999999995</v>
      </c>
      <c r="P32" s="207">
        <f t="shared" si="7"/>
        <v>-10494.880000000005</v>
      </c>
      <c r="Q32" s="205">
        <f>O32/N32*100</f>
        <v>41.15323044142588</v>
      </c>
      <c r="R32" s="113"/>
      <c r="S32" s="114"/>
      <c r="T32" s="186">
        <f t="shared" si="9"/>
        <v>0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f>D33</f>
        <v>0</v>
      </c>
      <c r="F33" s="171">
        <v>0.23</v>
      </c>
      <c r="G33" s="109">
        <f t="shared" si="0"/>
        <v>0.23</v>
      </c>
      <c r="H33" s="111"/>
      <c r="I33" s="110">
        <f t="shared" si="5"/>
        <v>0.23</v>
      </c>
      <c r="J33" s="110"/>
      <c r="K33" s="142">
        <v>-1.15</v>
      </c>
      <c r="L33" s="142">
        <f t="shared" si="1"/>
        <v>1.38</v>
      </c>
      <c r="M33" s="264">
        <f aca="true" t="shared" si="12" ref="M33:M39">F33/K33</f>
        <v>-0.2</v>
      </c>
      <c r="N33" s="111">
        <f>E33-листопад!E33</f>
        <v>0</v>
      </c>
      <c r="O33" s="179">
        <f>F33-листопад!F33</f>
        <v>0</v>
      </c>
      <c r="P33" s="112">
        <f t="shared" si="7"/>
        <v>0</v>
      </c>
      <c r="Q33" s="110"/>
      <c r="R33" s="113"/>
      <c r="S33" s="114"/>
      <c r="T33" s="186">
        <f t="shared" si="9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28217+6000+4100</f>
        <v>38317</v>
      </c>
      <c r="E34" s="109">
        <f>D34</f>
        <v>38317</v>
      </c>
      <c r="F34" s="171">
        <v>38788.72</v>
      </c>
      <c r="G34" s="109">
        <f t="shared" si="0"/>
        <v>471.72000000000116</v>
      </c>
      <c r="H34" s="111">
        <f t="shared" si="4"/>
        <v>101.2310984680429</v>
      </c>
      <c r="I34" s="110">
        <f t="shared" si="5"/>
        <v>471.72000000000116</v>
      </c>
      <c r="J34" s="110">
        <f t="shared" si="6"/>
        <v>101.2310984680429</v>
      </c>
      <c r="K34" s="142">
        <v>24618.58</v>
      </c>
      <c r="L34" s="142">
        <f t="shared" si="1"/>
        <v>14170.14</v>
      </c>
      <c r="M34" s="264">
        <f t="shared" si="12"/>
        <v>1.5755872190841225</v>
      </c>
      <c r="N34" s="111">
        <f>E34-листопад!E34</f>
        <v>5054.029999999999</v>
      </c>
      <c r="O34" s="179">
        <f>F34-листопад!F34</f>
        <v>1642.5299999999988</v>
      </c>
      <c r="P34" s="112">
        <f t="shared" si="7"/>
        <v>-3411.5</v>
      </c>
      <c r="Q34" s="110">
        <f>O34/N34*100</f>
        <v>32.4994113608348</v>
      </c>
      <c r="R34" s="113"/>
      <c r="S34" s="114"/>
      <c r="T34" s="186">
        <f t="shared" si="9"/>
        <v>0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89732+17000+10400</f>
        <v>117132</v>
      </c>
      <c r="E35" s="109">
        <f>D35</f>
        <v>117132</v>
      </c>
      <c r="F35" s="171">
        <v>118526.52</v>
      </c>
      <c r="G35" s="109">
        <f t="shared" si="0"/>
        <v>1394.520000000004</v>
      </c>
      <c r="H35" s="111">
        <f t="shared" si="4"/>
        <v>101.19055424649115</v>
      </c>
      <c r="I35" s="110">
        <f t="shared" si="5"/>
        <v>1394.520000000004</v>
      </c>
      <c r="J35" s="110">
        <f t="shared" si="6"/>
        <v>101.19055424649115</v>
      </c>
      <c r="K35" s="142">
        <v>79616.02</v>
      </c>
      <c r="L35" s="142">
        <f t="shared" si="1"/>
        <v>38910.5</v>
      </c>
      <c r="M35" s="264">
        <f t="shared" si="12"/>
        <v>1.4887270175022564</v>
      </c>
      <c r="N35" s="111">
        <f>E35-листопад!E35</f>
        <v>12780.220000000001</v>
      </c>
      <c r="O35" s="179">
        <f>F35-листопад!F35</f>
        <v>5696.029999999999</v>
      </c>
      <c r="P35" s="112">
        <f t="shared" si="7"/>
        <v>-7084.190000000002</v>
      </c>
      <c r="Q35" s="110">
        <f>O35/N35*100</f>
        <v>44.569107574048004</v>
      </c>
      <c r="R35" s="113"/>
      <c r="S35" s="114"/>
      <c r="T35" s="186">
        <f t="shared" si="9"/>
        <v>0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f>D36</f>
        <v>51</v>
      </c>
      <c r="F36" s="171">
        <v>53.88</v>
      </c>
      <c r="G36" s="109">
        <f t="shared" si="0"/>
        <v>2.8800000000000026</v>
      </c>
      <c r="H36" s="111">
        <f t="shared" si="4"/>
        <v>105.64705882352942</v>
      </c>
      <c r="I36" s="110">
        <f t="shared" si="5"/>
        <v>2.8800000000000026</v>
      </c>
      <c r="J36" s="110">
        <f t="shared" si="6"/>
        <v>105.64705882352942</v>
      </c>
      <c r="K36" s="142">
        <v>36.13</v>
      </c>
      <c r="L36" s="142">
        <f t="shared" si="1"/>
        <v>17.75</v>
      </c>
      <c r="M36" s="264">
        <f t="shared" si="12"/>
        <v>1.491281483531691</v>
      </c>
      <c r="N36" s="111">
        <f>E36-листопад!E36</f>
        <v>0</v>
      </c>
      <c r="O36" s="179">
        <f>F36-листопад!F36</f>
        <v>0.8000000000000043</v>
      </c>
      <c r="P36" s="112">
        <f t="shared" si="7"/>
        <v>0.8000000000000043</v>
      </c>
      <c r="Q36" s="110"/>
      <c r="R36" s="113"/>
      <c r="S36" s="114"/>
      <c r="T36" s="186">
        <f t="shared" si="9"/>
        <v>0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5"/>
        <v>0</v>
      </c>
      <c r="J37" s="42"/>
      <c r="K37" s="132">
        <v>6768.9</v>
      </c>
      <c r="L37" s="132">
        <f t="shared" si="1"/>
        <v>-6768.9</v>
      </c>
      <c r="M37" s="265">
        <f t="shared" si="12"/>
        <v>0</v>
      </c>
      <c r="N37" s="152">
        <f>E37-листопад!E37</f>
        <v>0</v>
      </c>
      <c r="O37" s="180">
        <f>F37-листопад!F37</f>
        <v>0</v>
      </c>
      <c r="P37" s="40">
        <f t="shared" si="7"/>
        <v>0</v>
      </c>
      <c r="Q37" s="42"/>
      <c r="R37" s="113"/>
      <c r="S37" s="114"/>
      <c r="T37" s="186">
        <f t="shared" si="9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67352.08</v>
      </c>
      <c r="E38" s="191">
        <f>E39+E40+E41+E42+E43+E45+E47+E48+E49+E50+E51+E56+E57+E61+E44</f>
        <v>67352.08</v>
      </c>
      <c r="F38" s="191">
        <f>F39+F40+F41+F42+F43+F45+F47+F48+F49+F50+F51+F56+F57+F61+F44</f>
        <v>68482.14000000001</v>
      </c>
      <c r="G38" s="191">
        <f>G39+G40+G41+G42+G43+G45+G47+G48+G49+G50+G51+G56+G57+G61</f>
        <v>1129.6899999999998</v>
      </c>
      <c r="H38" s="192">
        <f>F38/E38*100</f>
        <v>101.67783979351492</v>
      </c>
      <c r="I38" s="193">
        <f>F38-D38</f>
        <v>1130.0600000000122</v>
      </c>
      <c r="J38" s="193">
        <f>F38/D38*100</f>
        <v>101.67783979351492</v>
      </c>
      <c r="K38" s="191">
        <v>50680.75</v>
      </c>
      <c r="L38" s="191">
        <f t="shared" si="1"/>
        <v>17801.390000000014</v>
      </c>
      <c r="M38" s="250">
        <f t="shared" si="12"/>
        <v>1.351245591274794</v>
      </c>
      <c r="N38" s="191">
        <f>N39+N40+N41+N42+N43+N45+N47+N48+N49+N50+N51+N56+N57+N61+N44</f>
        <v>8168.050000000001</v>
      </c>
      <c r="O38" s="191">
        <f>O39+O40+O41+O42+O43+O45+O47+O48+O49+O50+O51+O56+O57+O61+O44</f>
        <v>7394.2</v>
      </c>
      <c r="P38" s="191">
        <f>P39+P40+P41+P42+P43+P45+P47+P48+P49+P50+P51+P56+P57+P61</f>
        <v>-702.8500000000007</v>
      </c>
      <c r="Q38" s="191">
        <f>O38/N38*100</f>
        <v>90.52589051242339</v>
      </c>
      <c r="R38" s="15" t="e">
        <f>#N/A</f>
        <v>#N/A</v>
      </c>
      <c r="S38" s="15" t="e">
        <f>#N/A</f>
        <v>#N/A</v>
      </c>
      <c r="T38" s="186">
        <f t="shared" si="9"/>
        <v>0</v>
      </c>
    </row>
    <row r="39" spans="1:20" s="6" customFormat="1" ht="46.5">
      <c r="A39" s="8"/>
      <c r="B39" s="49" t="s">
        <v>102</v>
      </c>
      <c r="C39" s="48">
        <v>21010301</v>
      </c>
      <c r="D39" s="190">
        <f>400+150</f>
        <v>550</v>
      </c>
      <c r="E39" s="190">
        <f aca="true" t="shared" si="13" ref="E39:E45">D39</f>
        <v>550</v>
      </c>
      <c r="F39" s="196">
        <v>551.04</v>
      </c>
      <c r="G39" s="202">
        <f>F39-E39</f>
        <v>1.0399999999999636</v>
      </c>
      <c r="H39" s="204">
        <f aca="true" t="shared" si="14" ref="H39:H62">F39/E39*100</f>
        <v>100.1890909090909</v>
      </c>
      <c r="I39" s="205">
        <f>F39-D39</f>
        <v>1.0399999999999636</v>
      </c>
      <c r="J39" s="205">
        <f>F39/D39*100</f>
        <v>100.1890909090909</v>
      </c>
      <c r="K39" s="205">
        <v>0.55</v>
      </c>
      <c r="L39" s="205">
        <f t="shared" si="1"/>
        <v>550.49</v>
      </c>
      <c r="M39" s="266">
        <f t="shared" si="12"/>
        <v>1001.890909090909</v>
      </c>
      <c r="N39" s="204">
        <f>E39-листопад!E39</f>
        <v>152</v>
      </c>
      <c r="O39" s="208">
        <f>F39-листопад!F39</f>
        <v>-0.17000000000007276</v>
      </c>
      <c r="P39" s="207">
        <f>O39-N39</f>
        <v>-152.17000000000007</v>
      </c>
      <c r="Q39" s="205">
        <f aca="true" t="shared" si="15" ref="Q39:Q62">O39/N39*100</f>
        <v>-0.11184210526320576</v>
      </c>
      <c r="R39" s="42"/>
      <c r="S39" s="100"/>
      <c r="T39" s="186">
        <f t="shared" si="9"/>
        <v>0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25000+5007+5593</f>
        <v>35600</v>
      </c>
      <c r="E40" s="190">
        <f t="shared" si="13"/>
        <v>35600</v>
      </c>
      <c r="F40" s="196">
        <v>36136.57</v>
      </c>
      <c r="G40" s="202">
        <f aca="true" t="shared" si="16" ref="G40:G63">F40-E40</f>
        <v>536.5699999999997</v>
      </c>
      <c r="H40" s="204">
        <f t="shared" si="14"/>
        <v>101.5072191011236</v>
      </c>
      <c r="I40" s="205">
        <f aca="true" t="shared" si="17" ref="I40:I63">F40-D40</f>
        <v>536.5699999999997</v>
      </c>
      <c r="J40" s="205">
        <f>F40/D40*100</f>
        <v>101.5072191011236</v>
      </c>
      <c r="K40" s="205">
        <v>19275.42</v>
      </c>
      <c r="L40" s="205">
        <f t="shared" si="1"/>
        <v>16861.15</v>
      </c>
      <c r="M40" s="266"/>
      <c r="N40" s="204">
        <f>E40-листопад!E40</f>
        <v>6134</v>
      </c>
      <c r="O40" s="208">
        <f>F40-листопад!F40</f>
        <v>5057.439999999999</v>
      </c>
      <c r="P40" s="207">
        <f aca="true" t="shared" si="18" ref="P40:P63">O40-N40</f>
        <v>-1076.5600000000013</v>
      </c>
      <c r="Q40" s="205">
        <f t="shared" si="15"/>
        <v>82.44929898924028</v>
      </c>
      <c r="R40" s="42"/>
      <c r="S40" s="100"/>
      <c r="T40" s="186">
        <f t="shared" si="9"/>
        <v>0</v>
      </c>
    </row>
    <row r="41" spans="1:20" s="6" customFormat="1" ht="18">
      <c r="A41" s="8"/>
      <c r="B41" s="144" t="s">
        <v>62</v>
      </c>
      <c r="C41" s="47">
        <v>21080500</v>
      </c>
      <c r="D41" s="190">
        <f>111.44-80.4</f>
        <v>31.039999999999992</v>
      </c>
      <c r="E41" s="190">
        <f t="shared" si="13"/>
        <v>31.039999999999992</v>
      </c>
      <c r="F41" s="196">
        <v>31.98</v>
      </c>
      <c r="G41" s="202">
        <f t="shared" si="16"/>
        <v>0.9400000000000084</v>
      </c>
      <c r="H41" s="204">
        <f t="shared" si="14"/>
        <v>103.02835051546396</v>
      </c>
      <c r="I41" s="205">
        <f t="shared" si="17"/>
        <v>0.9400000000000084</v>
      </c>
      <c r="J41" s="205">
        <f aca="true" t="shared" si="19" ref="J41:J62">F41/D41*100</f>
        <v>103.02835051546396</v>
      </c>
      <c r="K41" s="205">
        <v>445.64</v>
      </c>
      <c r="L41" s="205">
        <f t="shared" si="1"/>
        <v>-413.65999999999997</v>
      </c>
      <c r="M41" s="266">
        <f aca="true" t="shared" si="20" ref="M41:M63">F41/K41</f>
        <v>0.07176196032672112</v>
      </c>
      <c r="N41" s="204">
        <f>E41-листопад!E41</f>
        <v>-80.4</v>
      </c>
      <c r="O41" s="208">
        <f>F41-листопад!F41</f>
        <v>0</v>
      </c>
      <c r="P41" s="207">
        <f t="shared" si="18"/>
        <v>80.4</v>
      </c>
      <c r="Q41" s="205"/>
      <c r="R41" s="42"/>
      <c r="S41" s="100"/>
      <c r="T41" s="186">
        <f t="shared" si="9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f t="shared" si="13"/>
        <v>0</v>
      </c>
      <c r="F42" s="196">
        <v>0.1</v>
      </c>
      <c r="G42" s="202">
        <f t="shared" si="16"/>
        <v>0.1</v>
      </c>
      <c r="H42" s="204"/>
      <c r="I42" s="205">
        <f t="shared" si="17"/>
        <v>0.1</v>
      </c>
      <c r="J42" s="205"/>
      <c r="K42" s="205">
        <v>1.02</v>
      </c>
      <c r="L42" s="205">
        <f t="shared" si="1"/>
        <v>-0.92</v>
      </c>
      <c r="M42" s="266">
        <f t="shared" si="20"/>
        <v>0.09803921568627451</v>
      </c>
      <c r="N42" s="204">
        <f>E42-листопад!E42</f>
        <v>0</v>
      </c>
      <c r="O42" s="208">
        <f>F42-листопад!F42</f>
        <v>0</v>
      </c>
      <c r="P42" s="207">
        <f t="shared" si="18"/>
        <v>0</v>
      </c>
      <c r="Q42" s="205"/>
      <c r="R42" s="42"/>
      <c r="S42" s="100"/>
      <c r="T42" s="186">
        <f t="shared" si="9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f>150+77</f>
        <v>227</v>
      </c>
      <c r="E43" s="190">
        <f t="shared" si="13"/>
        <v>227</v>
      </c>
      <c r="F43" s="196">
        <v>239.15</v>
      </c>
      <c r="G43" s="202">
        <f t="shared" si="16"/>
        <v>12.150000000000006</v>
      </c>
      <c r="H43" s="204">
        <f t="shared" si="14"/>
        <v>105.35242290748899</v>
      </c>
      <c r="I43" s="205">
        <f t="shared" si="17"/>
        <v>12.150000000000006</v>
      </c>
      <c r="J43" s="205">
        <f t="shared" si="19"/>
        <v>105.35242290748899</v>
      </c>
      <c r="K43" s="205">
        <v>126.46</v>
      </c>
      <c r="L43" s="205">
        <f t="shared" si="1"/>
        <v>112.69000000000001</v>
      </c>
      <c r="M43" s="266">
        <f t="shared" si="20"/>
        <v>1.891111814012336</v>
      </c>
      <c r="N43" s="204">
        <f>E43-листопад!E43</f>
        <v>117</v>
      </c>
      <c r="O43" s="208">
        <f>F43-листопад!F43</f>
        <v>13.640000000000015</v>
      </c>
      <c r="P43" s="207">
        <f t="shared" si="18"/>
        <v>-103.35999999999999</v>
      </c>
      <c r="Q43" s="205">
        <f t="shared" si="15"/>
        <v>11.658119658119672</v>
      </c>
      <c r="R43" s="42"/>
      <c r="S43" s="100"/>
      <c r="T43" s="186">
        <f t="shared" si="9"/>
        <v>0</v>
      </c>
    </row>
    <row r="44" spans="1:20" s="6" customFormat="1" ht="46.5">
      <c r="A44" s="8"/>
      <c r="B44" s="145" t="s">
        <v>83</v>
      </c>
      <c r="C44" s="77">
        <v>21081500</v>
      </c>
      <c r="D44" s="190">
        <f>14+71</f>
        <v>85</v>
      </c>
      <c r="E44" s="190">
        <f t="shared" si="13"/>
        <v>85</v>
      </c>
      <c r="F44" s="196">
        <v>85.37</v>
      </c>
      <c r="G44" s="202">
        <f t="shared" si="16"/>
        <v>0.37000000000000455</v>
      </c>
      <c r="H44" s="204"/>
      <c r="I44" s="205">
        <f t="shared" si="17"/>
        <v>0.37000000000000455</v>
      </c>
      <c r="J44" s="205"/>
      <c r="K44" s="205">
        <v>0</v>
      </c>
      <c r="L44" s="205">
        <f t="shared" si="1"/>
        <v>85.37</v>
      </c>
      <c r="M44" s="266"/>
      <c r="N44" s="204">
        <f>E44-листопад!E44</f>
        <v>71</v>
      </c>
      <c r="O44" s="208">
        <f>F44-листопад!F44</f>
        <v>0</v>
      </c>
      <c r="P44" s="207"/>
      <c r="Q44" s="205"/>
      <c r="R44" s="42"/>
      <c r="S44" s="100"/>
      <c r="T44" s="186">
        <f t="shared" si="9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f>300+400</f>
        <v>700</v>
      </c>
      <c r="E45" s="190">
        <f t="shared" si="13"/>
        <v>700</v>
      </c>
      <c r="F45" s="196">
        <v>777.72</v>
      </c>
      <c r="G45" s="202">
        <f t="shared" si="16"/>
        <v>77.72000000000003</v>
      </c>
      <c r="H45" s="204">
        <f t="shared" si="14"/>
        <v>111.10285714285715</v>
      </c>
      <c r="I45" s="205">
        <f t="shared" si="17"/>
        <v>77.72000000000003</v>
      </c>
      <c r="J45" s="205">
        <f t="shared" si="19"/>
        <v>111.10285714285715</v>
      </c>
      <c r="K45" s="205">
        <v>0</v>
      </c>
      <c r="L45" s="205">
        <f t="shared" si="1"/>
        <v>777.72</v>
      </c>
      <c r="M45" s="266"/>
      <c r="N45" s="204">
        <f>E45-листопад!E45</f>
        <v>410</v>
      </c>
      <c r="O45" s="208">
        <f>F45-листопад!F45</f>
        <v>147.94000000000005</v>
      </c>
      <c r="P45" s="207">
        <f t="shared" si="18"/>
        <v>-262.05999999999995</v>
      </c>
      <c r="Q45" s="205">
        <f t="shared" si="15"/>
        <v>36.08292682926831</v>
      </c>
      <c r="R45" s="42"/>
      <c r="S45" s="100"/>
      <c r="T45" s="186">
        <f t="shared" si="9"/>
        <v>0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20"/>
        <v>#DIV/0!</v>
      </c>
      <c r="N46" s="204">
        <f>E46-листопад!E46</f>
        <v>0</v>
      </c>
      <c r="O46" s="208">
        <f>F46-листопад!F46</f>
        <v>0</v>
      </c>
      <c r="P46" s="207"/>
      <c r="Q46" s="205"/>
      <c r="R46" s="42"/>
      <c r="S46" s="100"/>
      <c r="T46" s="186">
        <f t="shared" si="9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f>9900+1200</f>
        <v>11100</v>
      </c>
      <c r="E47" s="190">
        <f aca="true" t="shared" si="21" ref="E47:E57">D47</f>
        <v>11100</v>
      </c>
      <c r="F47" s="196">
        <v>11342.84</v>
      </c>
      <c r="G47" s="202">
        <f t="shared" si="16"/>
        <v>242.84000000000015</v>
      </c>
      <c r="H47" s="204">
        <f t="shared" si="14"/>
        <v>102.18774774774775</v>
      </c>
      <c r="I47" s="205">
        <f t="shared" si="17"/>
        <v>242.84000000000015</v>
      </c>
      <c r="J47" s="205">
        <f t="shared" si="19"/>
        <v>102.18774774774775</v>
      </c>
      <c r="K47" s="205">
        <v>9902.75</v>
      </c>
      <c r="L47" s="205">
        <f t="shared" si="1"/>
        <v>1440.0900000000001</v>
      </c>
      <c r="M47" s="266">
        <f t="shared" si="20"/>
        <v>1.145423241018909</v>
      </c>
      <c r="N47" s="204">
        <f>E47-листопад!E47</f>
        <v>1550.9799999999996</v>
      </c>
      <c r="O47" s="208">
        <f>F47-листопад!F47</f>
        <v>1103.630000000001</v>
      </c>
      <c r="P47" s="207">
        <f t="shared" si="18"/>
        <v>-447.34999999999854</v>
      </c>
      <c r="Q47" s="205">
        <f t="shared" si="15"/>
        <v>71.15694593095986</v>
      </c>
      <c r="R47" s="42"/>
      <c r="S47" s="100"/>
      <c r="T47" s="186">
        <f t="shared" si="9"/>
        <v>0</v>
      </c>
    </row>
    <row r="48" spans="1:20" s="6" customFormat="1" ht="31.5">
      <c r="A48" s="8"/>
      <c r="B48" s="188" t="s">
        <v>111</v>
      </c>
      <c r="C48" s="77">
        <v>22012600</v>
      </c>
      <c r="D48" s="190">
        <f>650-350</f>
        <v>300</v>
      </c>
      <c r="E48" s="190">
        <f t="shared" si="21"/>
        <v>300</v>
      </c>
      <c r="F48" s="196">
        <v>319.54</v>
      </c>
      <c r="G48" s="202">
        <f t="shared" si="16"/>
        <v>19.54000000000002</v>
      </c>
      <c r="H48" s="204">
        <f t="shared" si="14"/>
        <v>106.51333333333335</v>
      </c>
      <c r="I48" s="205">
        <f t="shared" si="17"/>
        <v>19.54000000000002</v>
      </c>
      <c r="J48" s="205">
        <f t="shared" si="19"/>
        <v>106.51333333333335</v>
      </c>
      <c r="K48" s="205">
        <v>0</v>
      </c>
      <c r="L48" s="205">
        <f t="shared" si="1"/>
        <v>319.54</v>
      </c>
      <c r="M48" s="266"/>
      <c r="N48" s="204">
        <f>E48-листопад!E48</f>
        <v>-350</v>
      </c>
      <c r="O48" s="208">
        <f>F48-листопад!F48</f>
        <v>36.89000000000004</v>
      </c>
      <c r="P48" s="207">
        <f t="shared" si="18"/>
        <v>386.89000000000004</v>
      </c>
      <c r="Q48" s="205"/>
      <c r="R48" s="42"/>
      <c r="S48" s="100"/>
      <c r="T48" s="186">
        <f t="shared" si="9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f>50-31</f>
        <v>19</v>
      </c>
      <c r="E49" s="190">
        <f t="shared" si="21"/>
        <v>19</v>
      </c>
      <c r="F49" s="196">
        <v>22.36</v>
      </c>
      <c r="G49" s="202">
        <f t="shared" si="16"/>
        <v>3.3599999999999994</v>
      </c>
      <c r="H49" s="204">
        <f t="shared" si="14"/>
        <v>117.6842105263158</v>
      </c>
      <c r="I49" s="205">
        <f t="shared" si="17"/>
        <v>3.3599999999999994</v>
      </c>
      <c r="J49" s="205">
        <f t="shared" si="19"/>
        <v>117.6842105263158</v>
      </c>
      <c r="K49" s="205">
        <v>0</v>
      </c>
      <c r="L49" s="205">
        <f t="shared" si="1"/>
        <v>22.36</v>
      </c>
      <c r="M49" s="266"/>
      <c r="N49" s="204">
        <f>E49-листопад!E49</f>
        <v>-21</v>
      </c>
      <c r="O49" s="208">
        <f>F49-листопад!F49</f>
        <v>3.1999999999999993</v>
      </c>
      <c r="P49" s="207">
        <f t="shared" si="18"/>
        <v>24.2</v>
      </c>
      <c r="Q49" s="205">
        <f t="shared" si="15"/>
        <v>-15.238095238095234</v>
      </c>
      <c r="R49" s="42"/>
      <c r="S49" s="100"/>
      <c r="T49" s="186">
        <f t="shared" si="9"/>
        <v>0</v>
      </c>
    </row>
    <row r="50" spans="1:20" s="6" customFormat="1" ht="30.75">
      <c r="A50" s="8"/>
      <c r="B50" s="145" t="s">
        <v>14</v>
      </c>
      <c r="C50" s="54">
        <v>22080400</v>
      </c>
      <c r="D50" s="190">
        <f>8000-770</f>
        <v>7230</v>
      </c>
      <c r="E50" s="190">
        <f t="shared" si="21"/>
        <v>7230</v>
      </c>
      <c r="F50" s="196">
        <v>7230.43</v>
      </c>
      <c r="G50" s="202">
        <f t="shared" si="16"/>
        <v>0.43000000000029104</v>
      </c>
      <c r="H50" s="204">
        <f t="shared" si="14"/>
        <v>100.00594744121716</v>
      </c>
      <c r="I50" s="205">
        <f t="shared" si="17"/>
        <v>0.43000000000029104</v>
      </c>
      <c r="J50" s="205">
        <f t="shared" si="19"/>
        <v>100.00594744121716</v>
      </c>
      <c r="K50" s="205">
        <v>8872.3</v>
      </c>
      <c r="L50" s="205">
        <f t="shared" si="1"/>
        <v>-1641.869999999999</v>
      </c>
      <c r="M50" s="266">
        <f t="shared" si="20"/>
        <v>0.81494426473406</v>
      </c>
      <c r="N50" s="204">
        <f>E50-листопад!E50</f>
        <v>13.770000000000437</v>
      </c>
      <c r="O50" s="208">
        <f>F50-листопад!F50</f>
        <v>495.7400000000007</v>
      </c>
      <c r="P50" s="207">
        <f t="shared" si="18"/>
        <v>481.97000000000025</v>
      </c>
      <c r="Q50" s="205">
        <f t="shared" si="15"/>
        <v>3600.145243282389</v>
      </c>
      <c r="R50" s="42"/>
      <c r="S50" s="100"/>
      <c r="T50" s="186">
        <f t="shared" si="9"/>
        <v>0</v>
      </c>
    </row>
    <row r="51" spans="1:20" s="6" customFormat="1" ht="18">
      <c r="A51" s="8"/>
      <c r="B51" s="145" t="s">
        <v>15</v>
      </c>
      <c r="C51" s="48">
        <v>22090000</v>
      </c>
      <c r="D51" s="190">
        <f>7000.04-175-1675</f>
        <v>5150.04</v>
      </c>
      <c r="E51" s="190">
        <f t="shared" si="21"/>
        <v>5150.04</v>
      </c>
      <c r="F51" s="196">
        <v>5159.62</v>
      </c>
      <c r="G51" s="202">
        <f t="shared" si="16"/>
        <v>9.579999999999927</v>
      </c>
      <c r="H51" s="204">
        <f t="shared" si="14"/>
        <v>100.18601797267594</v>
      </c>
      <c r="I51" s="205">
        <f t="shared" si="17"/>
        <v>9.579999999999927</v>
      </c>
      <c r="J51" s="205">
        <f t="shared" si="19"/>
        <v>100.18601797267594</v>
      </c>
      <c r="K51" s="205">
        <v>7235.66</v>
      </c>
      <c r="L51" s="205">
        <f t="shared" si="1"/>
        <v>-2076.04</v>
      </c>
      <c r="M51" s="266">
        <f t="shared" si="20"/>
        <v>0.7130821514554304</v>
      </c>
      <c r="N51" s="204">
        <f>E51-листопад!E51</f>
        <v>-951.1499999999996</v>
      </c>
      <c r="O51" s="208">
        <f>F51-листопад!F51</f>
        <v>56.88000000000011</v>
      </c>
      <c r="P51" s="207">
        <f t="shared" si="18"/>
        <v>1008.0299999999997</v>
      </c>
      <c r="Q51" s="205">
        <f t="shared" si="15"/>
        <v>-5.980129317142421</v>
      </c>
      <c r="R51" s="42"/>
      <c r="S51" s="100"/>
      <c r="T51" s="186">
        <f t="shared" si="9"/>
        <v>0</v>
      </c>
    </row>
    <row r="52" spans="1:20" s="6" customFormat="1" ht="18" hidden="1">
      <c r="A52" s="8"/>
      <c r="B52" s="55" t="s">
        <v>101</v>
      </c>
      <c r="C52" s="138">
        <v>22090100</v>
      </c>
      <c r="D52" s="109">
        <f>970-175</f>
        <v>795</v>
      </c>
      <c r="E52" s="109">
        <f t="shared" si="21"/>
        <v>795</v>
      </c>
      <c r="F52" s="171">
        <v>834.29</v>
      </c>
      <c r="G52" s="36">
        <f t="shared" si="16"/>
        <v>39.289999999999964</v>
      </c>
      <c r="H52" s="32">
        <f t="shared" si="14"/>
        <v>104.94213836477988</v>
      </c>
      <c r="I52" s="110">
        <f t="shared" si="17"/>
        <v>39.289999999999964</v>
      </c>
      <c r="J52" s="110">
        <f t="shared" si="19"/>
        <v>104.94213836477988</v>
      </c>
      <c r="K52" s="110">
        <v>1089.08</v>
      </c>
      <c r="L52" s="110">
        <f>F52-K52</f>
        <v>-254.78999999999996</v>
      </c>
      <c r="M52" s="115">
        <f t="shared" si="20"/>
        <v>0.7660502442428472</v>
      </c>
      <c r="N52" s="204">
        <f>E52-листопад!E52</f>
        <v>-78.99000000000001</v>
      </c>
      <c r="O52" s="208">
        <f>F52-листопад!F52</f>
        <v>49.42999999999995</v>
      </c>
      <c r="P52" s="112">
        <f t="shared" si="18"/>
        <v>128.41999999999996</v>
      </c>
      <c r="Q52" s="132">
        <f t="shared" si="15"/>
        <v>-62.57754146094435</v>
      </c>
      <c r="R52" s="42"/>
      <c r="S52" s="100"/>
      <c r="T52" s="186">
        <f t="shared" si="9"/>
        <v>0</v>
      </c>
    </row>
    <row r="53" spans="1:20" s="6" customFormat="1" ht="18" hidden="1">
      <c r="A53" s="8"/>
      <c r="B53" s="55" t="s">
        <v>98</v>
      </c>
      <c r="C53" s="138">
        <v>22090200</v>
      </c>
      <c r="D53" s="109">
        <v>5.04</v>
      </c>
      <c r="E53" s="109">
        <f t="shared" si="21"/>
        <v>5.04</v>
      </c>
      <c r="F53" s="171">
        <v>0.38</v>
      </c>
      <c r="G53" s="36">
        <f t="shared" si="16"/>
        <v>-4.66</v>
      </c>
      <c r="H53" s="32">
        <f t="shared" si="14"/>
        <v>7.5396825396825395</v>
      </c>
      <c r="I53" s="110">
        <f t="shared" si="17"/>
        <v>-4.66</v>
      </c>
      <c r="J53" s="110">
        <f t="shared" si="19"/>
        <v>7.5396825396825395</v>
      </c>
      <c r="K53" s="110">
        <v>44.23</v>
      </c>
      <c r="L53" s="110">
        <f>F53-K53</f>
        <v>-43.849999999999994</v>
      </c>
      <c r="M53" s="115">
        <f t="shared" si="20"/>
        <v>0.008591453764413295</v>
      </c>
      <c r="N53" s="204">
        <f>E53-листопад!E53</f>
        <v>0</v>
      </c>
      <c r="O53" s="208">
        <f>F53-листопад!F53</f>
        <v>0.09000000000000002</v>
      </c>
      <c r="P53" s="112">
        <f t="shared" si="18"/>
        <v>0.09000000000000002</v>
      </c>
      <c r="Q53" s="132" t="e">
        <f t="shared" si="15"/>
        <v>#DIV/0!</v>
      </c>
      <c r="R53" s="42"/>
      <c r="S53" s="100"/>
      <c r="T53" s="186">
        <f t="shared" si="9"/>
        <v>0</v>
      </c>
    </row>
    <row r="54" spans="1:20" s="6" customFormat="1" ht="18" hidden="1">
      <c r="A54" s="8"/>
      <c r="B54" s="55" t="s">
        <v>99</v>
      </c>
      <c r="C54" s="138">
        <v>22090300</v>
      </c>
      <c r="D54" s="109">
        <v>1</v>
      </c>
      <c r="E54" s="109">
        <f t="shared" si="21"/>
        <v>1</v>
      </c>
      <c r="F54" s="171">
        <v>0.02</v>
      </c>
      <c r="G54" s="36">
        <f t="shared" si="16"/>
        <v>-0.98</v>
      </c>
      <c r="H54" s="32"/>
      <c r="I54" s="110">
        <f t="shared" si="17"/>
        <v>-0.98</v>
      </c>
      <c r="J54" s="110">
        <f t="shared" si="19"/>
        <v>2</v>
      </c>
      <c r="K54" s="110">
        <v>0.75</v>
      </c>
      <c r="L54" s="110">
        <f>F54-K54</f>
        <v>-0.73</v>
      </c>
      <c r="M54" s="115">
        <f t="shared" si="20"/>
        <v>0.02666666666666667</v>
      </c>
      <c r="N54" s="204">
        <f>E54-листопад!E54</f>
        <v>1</v>
      </c>
      <c r="O54" s="208">
        <f>F54-листопад!F54</f>
        <v>0</v>
      </c>
      <c r="P54" s="112">
        <f t="shared" si="18"/>
        <v>-1</v>
      </c>
      <c r="Q54" s="132"/>
      <c r="R54" s="42"/>
      <c r="S54" s="100"/>
      <c r="T54" s="186">
        <f t="shared" si="9"/>
        <v>0</v>
      </c>
    </row>
    <row r="55" spans="1:20" s="6" customFormat="1" ht="18" hidden="1">
      <c r="A55" s="8"/>
      <c r="B55" s="55" t="s">
        <v>100</v>
      </c>
      <c r="C55" s="138">
        <v>22090400</v>
      </c>
      <c r="D55" s="109">
        <f>6024-1675</f>
        <v>4349</v>
      </c>
      <c r="E55" s="109">
        <f t="shared" si="21"/>
        <v>4349</v>
      </c>
      <c r="F55" s="171">
        <v>4324.94</v>
      </c>
      <c r="G55" s="36">
        <f t="shared" si="16"/>
        <v>-24.0600000000004</v>
      </c>
      <c r="H55" s="32">
        <f t="shared" si="14"/>
        <v>99.44676937226949</v>
      </c>
      <c r="I55" s="110">
        <f t="shared" si="17"/>
        <v>-24.0600000000004</v>
      </c>
      <c r="J55" s="110">
        <f t="shared" si="19"/>
        <v>99.44676937226949</v>
      </c>
      <c r="K55" s="110">
        <v>6101.6</v>
      </c>
      <c r="L55" s="110">
        <f>F55-K55</f>
        <v>-1776.6600000000008</v>
      </c>
      <c r="M55" s="115">
        <f t="shared" si="20"/>
        <v>0.7088206372099121</v>
      </c>
      <c r="N55" s="204">
        <f>E55-листопад!E55</f>
        <v>-873.1700000000001</v>
      </c>
      <c r="O55" s="208">
        <f>F55-листопад!F55</f>
        <v>7.369999999999891</v>
      </c>
      <c r="P55" s="112">
        <f t="shared" si="18"/>
        <v>880.54</v>
      </c>
      <c r="Q55" s="132">
        <f t="shared" si="15"/>
        <v>-0.8440509866348924</v>
      </c>
      <c r="R55" s="42"/>
      <c r="S55" s="100"/>
      <c r="T55" s="186">
        <f t="shared" si="9"/>
        <v>0</v>
      </c>
    </row>
    <row r="56" spans="1:20" s="6" customFormat="1" ht="46.5">
      <c r="A56" s="8"/>
      <c r="B56" s="13" t="s">
        <v>17</v>
      </c>
      <c r="C56" s="11" t="s">
        <v>18</v>
      </c>
      <c r="D56" s="190">
        <f>10-8</f>
        <v>2</v>
      </c>
      <c r="E56" s="190">
        <f t="shared" si="21"/>
        <v>2</v>
      </c>
      <c r="F56" s="196">
        <v>2.46</v>
      </c>
      <c r="G56" s="202">
        <f t="shared" si="16"/>
        <v>0.45999999999999996</v>
      </c>
      <c r="H56" s="204">
        <f t="shared" si="14"/>
        <v>123</v>
      </c>
      <c r="I56" s="205">
        <f t="shared" si="17"/>
        <v>0.45999999999999996</v>
      </c>
      <c r="J56" s="205">
        <f t="shared" si="19"/>
        <v>123</v>
      </c>
      <c r="K56" s="205">
        <v>10.65</v>
      </c>
      <c r="L56" s="205">
        <f>F56-K56</f>
        <v>-8.190000000000001</v>
      </c>
      <c r="M56" s="266">
        <f t="shared" si="20"/>
        <v>0.23098591549295774</v>
      </c>
      <c r="N56" s="204">
        <f>E56-листопад!E56</f>
        <v>1.83</v>
      </c>
      <c r="O56" s="208">
        <f>F56-листопад!F56</f>
        <v>0</v>
      </c>
      <c r="P56" s="207">
        <f t="shared" si="18"/>
        <v>-1.83</v>
      </c>
      <c r="Q56" s="205"/>
      <c r="R56" s="42"/>
      <c r="S56" s="100"/>
      <c r="T56" s="186">
        <f t="shared" si="9"/>
        <v>0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f>5150+1050</f>
        <v>6200</v>
      </c>
      <c r="E57" s="190">
        <f t="shared" si="21"/>
        <v>6200</v>
      </c>
      <c r="F57" s="196">
        <v>6356.24</v>
      </c>
      <c r="G57" s="202">
        <f t="shared" si="16"/>
        <v>156.23999999999978</v>
      </c>
      <c r="H57" s="204">
        <f t="shared" si="14"/>
        <v>102.51999999999998</v>
      </c>
      <c r="I57" s="205">
        <f t="shared" si="17"/>
        <v>156.23999999999978</v>
      </c>
      <c r="J57" s="205">
        <f t="shared" si="19"/>
        <v>102.51999999999998</v>
      </c>
      <c r="K57" s="205">
        <v>4790.19</v>
      </c>
      <c r="L57" s="205">
        <f aca="true" t="shared" si="22" ref="L57:L63">F57-K57</f>
        <v>1566.0500000000002</v>
      </c>
      <c r="M57" s="266">
        <f t="shared" si="20"/>
        <v>1.3269285769457997</v>
      </c>
      <c r="N57" s="204">
        <f>E57-листопад!E57</f>
        <v>1062.0200000000004</v>
      </c>
      <c r="O57" s="208">
        <f>F57-листопад!F57</f>
        <v>411.21999999999935</v>
      </c>
      <c r="P57" s="207">
        <f t="shared" si="18"/>
        <v>-650.8000000000011</v>
      </c>
      <c r="Q57" s="205">
        <f t="shared" si="15"/>
        <v>38.72055140204508</v>
      </c>
      <c r="R57" s="42"/>
      <c r="S57" s="100"/>
      <c r="T57" s="186">
        <f t="shared" si="9"/>
        <v>0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6"/>
        <v>0</v>
      </c>
      <c r="H58" s="204" t="e">
        <f t="shared" si="14"/>
        <v>#DIV/0!</v>
      </c>
      <c r="I58" s="205">
        <f t="shared" si="17"/>
        <v>0</v>
      </c>
      <c r="J58" s="205" t="e">
        <f t="shared" si="19"/>
        <v>#DIV/0!</v>
      </c>
      <c r="K58" s="205"/>
      <c r="L58" s="205">
        <f t="shared" si="22"/>
        <v>0</v>
      </c>
      <c r="M58" s="266" t="e">
        <f t="shared" si="20"/>
        <v>#DIV/0!</v>
      </c>
      <c r="N58" s="204">
        <f>E58-листопад!E58</f>
        <v>0</v>
      </c>
      <c r="O58" s="208">
        <f>F58-вересень!F58</f>
        <v>0</v>
      </c>
      <c r="P58" s="207">
        <f t="shared" si="18"/>
        <v>0</v>
      </c>
      <c r="Q58" s="205" t="e">
        <f t="shared" si="15"/>
        <v>#DIV/0!</v>
      </c>
      <c r="R58" s="42"/>
      <c r="S58" s="100"/>
      <c r="T58" s="186">
        <f t="shared" si="9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1406.6</v>
      </c>
      <c r="G59" s="202"/>
      <c r="H59" s="204"/>
      <c r="I59" s="205"/>
      <c r="J59" s="205"/>
      <c r="K59" s="206">
        <v>1224.23</v>
      </c>
      <c r="L59" s="205">
        <f t="shared" si="22"/>
        <v>182.3699999999999</v>
      </c>
      <c r="M59" s="266">
        <f t="shared" si="20"/>
        <v>1.148967105854292</v>
      </c>
      <c r="N59" s="204"/>
      <c r="O59" s="220">
        <f>F59-листопад!F59</f>
        <v>150.55999999999995</v>
      </c>
      <c r="P59" s="206"/>
      <c r="Q59" s="205"/>
      <c r="R59" s="42"/>
      <c r="S59" s="100"/>
      <c r="T59" s="186">
        <f t="shared" si="9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f>D60</f>
        <v>0</v>
      </c>
      <c r="F60" s="172">
        <v>0</v>
      </c>
      <c r="G60" s="202">
        <f t="shared" si="16"/>
        <v>0</v>
      </c>
      <c r="H60" s="204"/>
      <c r="I60" s="205">
        <f t="shared" si="17"/>
        <v>0</v>
      </c>
      <c r="J60" s="205"/>
      <c r="K60" s="206"/>
      <c r="L60" s="205">
        <f t="shared" si="22"/>
        <v>0</v>
      </c>
      <c r="M60" s="266" t="e">
        <f t="shared" si="20"/>
        <v>#DIV/0!</v>
      </c>
      <c r="N60" s="204">
        <f>E60-вересень!E60</f>
        <v>0</v>
      </c>
      <c r="O60" s="208">
        <f>F60-вересень!F60</f>
        <v>0</v>
      </c>
      <c r="P60" s="207">
        <f t="shared" si="18"/>
        <v>0</v>
      </c>
      <c r="Q60" s="205"/>
      <c r="R60" s="42"/>
      <c r="S60" s="100"/>
      <c r="T60" s="186">
        <f t="shared" si="9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f>100+58</f>
        <v>158</v>
      </c>
      <c r="E61" s="190">
        <f>D61</f>
        <v>158</v>
      </c>
      <c r="F61" s="196">
        <v>226.72</v>
      </c>
      <c r="G61" s="202">
        <f t="shared" si="16"/>
        <v>68.72</v>
      </c>
      <c r="H61" s="204">
        <f t="shared" si="14"/>
        <v>143.49367088607593</v>
      </c>
      <c r="I61" s="205">
        <f t="shared" si="17"/>
        <v>68.72</v>
      </c>
      <c r="J61" s="205">
        <f t="shared" si="19"/>
        <v>143.49367088607593</v>
      </c>
      <c r="K61" s="205">
        <v>20.05</v>
      </c>
      <c r="L61" s="205">
        <f t="shared" si="22"/>
        <v>206.67</v>
      </c>
      <c r="M61" s="266">
        <f t="shared" si="20"/>
        <v>11.307730673316708</v>
      </c>
      <c r="N61" s="204">
        <f>E61-листопад!E61</f>
        <v>58</v>
      </c>
      <c r="O61" s="208">
        <f>F61-листопад!F61</f>
        <v>67.78999999999999</v>
      </c>
      <c r="P61" s="207">
        <f t="shared" si="18"/>
        <v>9.789999999999992</v>
      </c>
      <c r="Q61" s="205"/>
      <c r="R61" s="42"/>
      <c r="S61" s="100"/>
      <c r="T61" s="186">
        <f t="shared" si="9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f>30-17</f>
        <v>13</v>
      </c>
      <c r="E62" s="190">
        <f>D62</f>
        <v>13</v>
      </c>
      <c r="F62" s="196">
        <v>13.52</v>
      </c>
      <c r="G62" s="202">
        <f t="shared" si="16"/>
        <v>0.5199999999999996</v>
      </c>
      <c r="H62" s="204">
        <f t="shared" si="14"/>
        <v>104</v>
      </c>
      <c r="I62" s="205">
        <f t="shared" si="17"/>
        <v>0.5199999999999996</v>
      </c>
      <c r="J62" s="205">
        <f t="shared" si="19"/>
        <v>104</v>
      </c>
      <c r="K62" s="205">
        <v>26.28</v>
      </c>
      <c r="L62" s="205">
        <f t="shared" si="22"/>
        <v>-12.760000000000002</v>
      </c>
      <c r="M62" s="266">
        <f t="shared" si="20"/>
        <v>0.5144596651445966</v>
      </c>
      <c r="N62" s="204">
        <f>E62-листопад!E62</f>
        <v>-10.7</v>
      </c>
      <c r="O62" s="208">
        <f>F62-листопад!F62</f>
        <v>0</v>
      </c>
      <c r="P62" s="207">
        <f t="shared" si="18"/>
        <v>10.7</v>
      </c>
      <c r="Q62" s="205">
        <f t="shared" si="15"/>
        <v>0</v>
      </c>
      <c r="R62" s="42"/>
      <c r="S62" s="100"/>
      <c r="T62" s="186">
        <f t="shared" si="9"/>
        <v>0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f>D63</f>
        <v>0.8</v>
      </c>
      <c r="F63" s="196">
        <v>7.29</v>
      </c>
      <c r="G63" s="202">
        <f t="shared" si="16"/>
        <v>6.49</v>
      </c>
      <c r="H63" s="204"/>
      <c r="I63" s="205">
        <f t="shared" si="17"/>
        <v>6.49</v>
      </c>
      <c r="J63" s="205"/>
      <c r="K63" s="205">
        <v>0.58</v>
      </c>
      <c r="L63" s="205">
        <f t="shared" si="22"/>
        <v>6.71</v>
      </c>
      <c r="M63" s="266">
        <f t="shared" si="20"/>
        <v>12.56896551724138</v>
      </c>
      <c r="N63" s="204">
        <f>E63-листопад!E63</f>
        <v>0.6000000000000001</v>
      </c>
      <c r="O63" s="208">
        <f>F63-листопад!F63</f>
        <v>6.22</v>
      </c>
      <c r="P63" s="207">
        <f t="shared" si="18"/>
        <v>5.619999999999999</v>
      </c>
      <c r="Q63" s="205"/>
      <c r="R63" s="42"/>
      <c r="S63" s="100"/>
      <c r="T63" s="186">
        <f t="shared" si="9"/>
        <v>0</v>
      </c>
    </row>
    <row r="64" spans="1:23" s="6" customFormat="1" ht="18">
      <c r="A64" s="9"/>
      <c r="B64" s="14" t="s">
        <v>28</v>
      </c>
      <c r="C64" s="67"/>
      <c r="D64" s="191">
        <f>D8+D38+D62+D63</f>
        <v>1042725.7300000001</v>
      </c>
      <c r="E64" s="191">
        <f>E8+E38+E62+E63</f>
        <v>1042725.7300000001</v>
      </c>
      <c r="F64" s="191">
        <f>F8+F38+F62+F63</f>
        <v>1042050.4700000001</v>
      </c>
      <c r="G64" s="191">
        <f>F64-E64</f>
        <v>-675.2600000000093</v>
      </c>
      <c r="H64" s="192">
        <f>F64/E64*100</f>
        <v>99.93524088064845</v>
      </c>
      <c r="I64" s="193">
        <f>F64-D64</f>
        <v>-675.2600000000093</v>
      </c>
      <c r="J64" s="193">
        <f>F64/D64*100</f>
        <v>99.93524088064845</v>
      </c>
      <c r="K64" s="193">
        <v>723400.62</v>
      </c>
      <c r="L64" s="193">
        <f>F64-K64</f>
        <v>318649.8500000001</v>
      </c>
      <c r="M64" s="267">
        <f>F64/K64</f>
        <v>1.4404887709385708</v>
      </c>
      <c r="N64" s="191">
        <f>N8+N38+N62+N63</f>
        <v>99095.95000000004</v>
      </c>
      <c r="O64" s="191">
        <f>O8+O38+O62+O63</f>
        <v>90349.47000000007</v>
      </c>
      <c r="P64" s="195">
        <f>O64-N64</f>
        <v>-8746.479999999967</v>
      </c>
      <c r="Q64" s="193">
        <f>O64/N64*100</f>
        <v>91.17372607054077</v>
      </c>
      <c r="R64" s="28">
        <f>O64-34768</f>
        <v>55581.470000000074</v>
      </c>
      <c r="S64" s="128">
        <f>O64/34768</f>
        <v>2.5986386907501173</v>
      </c>
      <c r="T64" s="186">
        <f t="shared" si="9"/>
        <v>0</v>
      </c>
      <c r="U64" s="147"/>
      <c r="W64" s="186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9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9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9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9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>
        <f>D69</f>
        <v>0</v>
      </c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F69-листопад!F69</f>
        <v>0</v>
      </c>
      <c r="P69" s="207"/>
      <c r="Q69" s="207"/>
      <c r="R69" s="43"/>
      <c r="S69" s="103"/>
      <c r="T69" s="186">
        <f t="shared" si="9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>
        <f>D70</f>
        <v>0</v>
      </c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-56.2</v>
      </c>
      <c r="L70" s="207">
        <f>F70-K70</f>
        <v>46.010000000000005</v>
      </c>
      <c r="M70" s="254">
        <f>F70/K70</f>
        <v>0.18131672597864767</v>
      </c>
      <c r="N70" s="204"/>
      <c r="O70" s="223">
        <f>F70-жовтень!F70</f>
        <v>0</v>
      </c>
      <c r="P70" s="207">
        <f>O70-N70</f>
        <v>0</v>
      </c>
      <c r="Q70" s="207"/>
      <c r="R70" s="43"/>
      <c r="S70" s="103"/>
      <c r="T70" s="186">
        <f t="shared" si="9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-56.2</v>
      </c>
      <c r="L71" s="228">
        <f>F71-K71</f>
        <v>46.02</v>
      </c>
      <c r="M71" s="260">
        <f>F71/K71</f>
        <v>0.18113879003558717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9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9"/>
        <v>0</v>
      </c>
    </row>
    <row r="73" spans="2:20" ht="31.5">
      <c r="B73" s="23" t="s">
        <v>30</v>
      </c>
      <c r="C73" s="78">
        <v>31030000</v>
      </c>
      <c r="D73" s="221">
        <f>4200+11000-12200</f>
        <v>3000</v>
      </c>
      <c r="E73" s="221">
        <f>D73</f>
        <v>3000</v>
      </c>
      <c r="F73" s="222">
        <v>4618.98</v>
      </c>
      <c r="G73" s="202">
        <f aca="true" t="shared" si="23" ref="G73:G83">F73-E73</f>
        <v>1618.9799999999996</v>
      </c>
      <c r="H73" s="204"/>
      <c r="I73" s="207">
        <f aca="true" t="shared" si="24" ref="I73:I83">F73-D73</f>
        <v>1618.9799999999996</v>
      </c>
      <c r="J73" s="207">
        <f>F73/D73*100</f>
        <v>153.96599999999998</v>
      </c>
      <c r="K73" s="207">
        <v>619.07</v>
      </c>
      <c r="L73" s="207">
        <f aca="true" t="shared" si="25" ref="L73:L83">F73-K73</f>
        <v>3999.9099999999994</v>
      </c>
      <c r="M73" s="254">
        <f>F73/K73</f>
        <v>7.461159481157218</v>
      </c>
      <c r="N73" s="204">
        <f>E73-листопад!E73</f>
        <v>-1200</v>
      </c>
      <c r="O73" s="208">
        <f>F73-листопад!F73</f>
        <v>2358.3499999999995</v>
      </c>
      <c r="P73" s="207">
        <f aca="true" t="shared" si="26" ref="P73:P86">O73-N73</f>
        <v>3558.3499999999995</v>
      </c>
      <c r="Q73" s="207">
        <f>O73/N73*100</f>
        <v>-196.5291666666666</v>
      </c>
      <c r="R73" s="43"/>
      <c r="S73" s="103"/>
      <c r="T73" s="186">
        <f t="shared" si="9"/>
        <v>0</v>
      </c>
    </row>
    <row r="74" spans="2:20" ht="18">
      <c r="B74" s="23" t="s">
        <v>31</v>
      </c>
      <c r="C74" s="78">
        <v>33010000</v>
      </c>
      <c r="D74" s="221">
        <f>7459+9700-6864</f>
        <v>10295</v>
      </c>
      <c r="E74" s="221">
        <f>D74</f>
        <v>10295</v>
      </c>
      <c r="F74" s="222">
        <v>10425.97</v>
      </c>
      <c r="G74" s="202">
        <f t="shared" si="23"/>
        <v>130.96999999999935</v>
      </c>
      <c r="H74" s="204">
        <f>F74/E74*100</f>
        <v>101.27217095677511</v>
      </c>
      <c r="I74" s="207">
        <f t="shared" si="24"/>
        <v>130.96999999999935</v>
      </c>
      <c r="J74" s="207">
        <f>F74/D74*100</f>
        <v>101.27217095677511</v>
      </c>
      <c r="K74" s="207">
        <v>8374.15</v>
      </c>
      <c r="L74" s="207">
        <f t="shared" si="25"/>
        <v>2051.8199999999997</v>
      </c>
      <c r="M74" s="254">
        <f>F74/K74</f>
        <v>1.2450183003648132</v>
      </c>
      <c r="N74" s="204">
        <f>E74-листопад!E74</f>
        <v>40.68999999999869</v>
      </c>
      <c r="O74" s="208">
        <f>F74-листопад!F74</f>
        <v>3132.3399999999992</v>
      </c>
      <c r="P74" s="207">
        <f t="shared" si="26"/>
        <v>3091.6500000000005</v>
      </c>
      <c r="Q74" s="207">
        <f>O74/N74*100</f>
        <v>7698.058491029982</v>
      </c>
      <c r="R74" s="43"/>
      <c r="S74" s="103"/>
      <c r="T74" s="186">
        <f aca="true" t="shared" si="27" ref="T74:T90">D74-E74</f>
        <v>0</v>
      </c>
    </row>
    <row r="75" spans="2:20" ht="31.5">
      <c r="B75" s="23" t="s">
        <v>55</v>
      </c>
      <c r="C75" s="78">
        <v>24170000</v>
      </c>
      <c r="D75" s="221">
        <f>6000+10000-3600</f>
        <v>12400</v>
      </c>
      <c r="E75" s="221">
        <f>D75</f>
        <v>12400</v>
      </c>
      <c r="F75" s="222">
        <v>12593.19</v>
      </c>
      <c r="G75" s="202">
        <f t="shared" si="23"/>
        <v>193.1900000000005</v>
      </c>
      <c r="H75" s="204">
        <f>F75/E75*100</f>
        <v>101.55798387096775</v>
      </c>
      <c r="I75" s="207">
        <f t="shared" si="24"/>
        <v>193.1900000000005</v>
      </c>
      <c r="J75" s="207">
        <f>F75/D75*100</f>
        <v>101.55798387096775</v>
      </c>
      <c r="K75" s="207">
        <v>2315.93</v>
      </c>
      <c r="L75" s="207">
        <f t="shared" si="25"/>
        <v>10277.26</v>
      </c>
      <c r="M75" s="254">
        <f>F75/K75</f>
        <v>5.4376384433035545</v>
      </c>
      <c r="N75" s="204">
        <f>E75-листопад!E75</f>
        <v>3899.1499999999996</v>
      </c>
      <c r="O75" s="208">
        <f>F75-листопад!F75</f>
        <v>218.0600000000013</v>
      </c>
      <c r="P75" s="207">
        <f t="shared" si="26"/>
        <v>-3681.0899999999983</v>
      </c>
      <c r="Q75" s="207">
        <f>O75/N75*100</f>
        <v>5.592500929689838</v>
      </c>
      <c r="R75" s="43"/>
      <c r="S75" s="103"/>
      <c r="T75" s="186">
        <f t="shared" si="27"/>
        <v>0</v>
      </c>
    </row>
    <row r="76" spans="2:20" ht="18">
      <c r="B76" s="23" t="s">
        <v>113</v>
      </c>
      <c r="C76" s="78">
        <v>24110700</v>
      </c>
      <c r="D76" s="221">
        <v>12</v>
      </c>
      <c r="E76" s="221">
        <f>D76</f>
        <v>12</v>
      </c>
      <c r="F76" s="222">
        <v>13</v>
      </c>
      <c r="G76" s="202">
        <f t="shared" si="23"/>
        <v>1</v>
      </c>
      <c r="H76" s="204">
        <f>F76/E76*100</f>
        <v>108.33333333333333</v>
      </c>
      <c r="I76" s="207">
        <f t="shared" si="24"/>
        <v>1</v>
      </c>
      <c r="J76" s="207">
        <f>F76/D76*100</f>
        <v>108.33333333333333</v>
      </c>
      <c r="K76" s="207">
        <v>0</v>
      </c>
      <c r="L76" s="207">
        <f t="shared" si="25"/>
        <v>13</v>
      </c>
      <c r="M76" s="254"/>
      <c r="N76" s="204">
        <f>E76-листопад!E76</f>
        <v>1</v>
      </c>
      <c r="O76" s="208">
        <f>F76-листопад!F76</f>
        <v>1</v>
      </c>
      <c r="P76" s="207">
        <f t="shared" si="26"/>
        <v>0</v>
      </c>
      <c r="Q76" s="207">
        <f>O76/N76*100</f>
        <v>100</v>
      </c>
      <c r="R76" s="43"/>
      <c r="S76" s="151"/>
      <c r="T76" s="186">
        <f t="shared" si="27"/>
        <v>0</v>
      </c>
    </row>
    <row r="77" spans="2:20" ht="33">
      <c r="B77" s="29" t="s">
        <v>52</v>
      </c>
      <c r="C77" s="70"/>
      <c r="D77" s="224">
        <f>D73+D74+D75+D76</f>
        <v>25707</v>
      </c>
      <c r="E77" s="224">
        <f>E73+E74+E75+E76</f>
        <v>25707</v>
      </c>
      <c r="F77" s="225">
        <f>F73+F74+F75+F76</f>
        <v>27651.14</v>
      </c>
      <c r="G77" s="226">
        <f t="shared" si="23"/>
        <v>1944.1399999999994</v>
      </c>
      <c r="H77" s="227">
        <f>F77/E77*100</f>
        <v>107.56268720581943</v>
      </c>
      <c r="I77" s="228">
        <f t="shared" si="24"/>
        <v>1944.1399999999994</v>
      </c>
      <c r="J77" s="228">
        <f>F77/D77*100</f>
        <v>107.56268720581943</v>
      </c>
      <c r="K77" s="228">
        <v>11309.15</v>
      </c>
      <c r="L77" s="228">
        <f t="shared" si="25"/>
        <v>16341.99</v>
      </c>
      <c r="M77" s="260">
        <f>F77/K77</f>
        <v>2.445023719731368</v>
      </c>
      <c r="N77" s="226">
        <f>N73+N74+N75+N76</f>
        <v>2740.8399999999983</v>
      </c>
      <c r="O77" s="230">
        <f>O73+O74+O75+O76</f>
        <v>5709.75</v>
      </c>
      <c r="P77" s="228">
        <f t="shared" si="26"/>
        <v>2968.9100000000017</v>
      </c>
      <c r="Q77" s="228">
        <f>O77/N77*100</f>
        <v>208.32117161162284</v>
      </c>
      <c r="R77" s="44"/>
      <c r="S77" s="129"/>
      <c r="T77" s="186">
        <f t="shared" si="27"/>
        <v>0</v>
      </c>
    </row>
    <row r="78" spans="2:20" ht="46.5">
      <c r="B78" s="12" t="s">
        <v>41</v>
      </c>
      <c r="C78" s="80">
        <v>24062100</v>
      </c>
      <c r="D78" s="221">
        <f>1+49</f>
        <v>50</v>
      </c>
      <c r="E78" s="221">
        <f>D78</f>
        <v>50</v>
      </c>
      <c r="F78" s="222">
        <v>69.99</v>
      </c>
      <c r="G78" s="202">
        <f t="shared" si="23"/>
        <v>19.989999999999995</v>
      </c>
      <c r="H78" s="204"/>
      <c r="I78" s="207">
        <f t="shared" si="24"/>
        <v>19.989999999999995</v>
      </c>
      <c r="J78" s="207"/>
      <c r="K78" s="207">
        <v>1.07</v>
      </c>
      <c r="L78" s="207">
        <f t="shared" si="25"/>
        <v>68.92</v>
      </c>
      <c r="M78" s="254">
        <f>F78/K78</f>
        <v>65.41121495327101</v>
      </c>
      <c r="N78" s="204">
        <f>E78-листопад!E78</f>
        <v>50</v>
      </c>
      <c r="O78" s="208">
        <f>F78-листопад!F78</f>
        <v>16.049999999999997</v>
      </c>
      <c r="P78" s="207">
        <f t="shared" si="26"/>
        <v>-33.95</v>
      </c>
      <c r="Q78" s="207"/>
      <c r="R78" s="43"/>
      <c r="S78" s="103"/>
      <c r="T78" s="186">
        <f t="shared" si="27"/>
        <v>0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3"/>
        <v>0</v>
      </c>
      <c r="H79" s="204"/>
      <c r="I79" s="207">
        <f t="shared" si="24"/>
        <v>0</v>
      </c>
      <c r="J79" s="231"/>
      <c r="K79" s="207">
        <v>0</v>
      </c>
      <c r="L79" s="207">
        <f t="shared" si="25"/>
        <v>0</v>
      </c>
      <c r="M79" s="254" t="e">
        <f>F79/K79</f>
        <v>#DIV/0!</v>
      </c>
      <c r="N79" s="204">
        <f>E79-листопад!E79</f>
        <v>0</v>
      </c>
      <c r="O79" s="208">
        <f>F79-листопад!F79</f>
        <v>0</v>
      </c>
      <c r="P79" s="207">
        <f t="shared" si="26"/>
        <v>0</v>
      </c>
      <c r="Q79" s="231"/>
      <c r="R79" s="46"/>
      <c r="S79" s="105"/>
      <c r="T79" s="186">
        <f t="shared" si="27"/>
        <v>0</v>
      </c>
    </row>
    <row r="80" spans="2:20" ht="18">
      <c r="B80" s="23" t="s">
        <v>47</v>
      </c>
      <c r="C80" s="78">
        <v>19010000</v>
      </c>
      <c r="D80" s="221">
        <f>9500-1150</f>
        <v>8350</v>
      </c>
      <c r="E80" s="221">
        <f>D80</f>
        <v>8350</v>
      </c>
      <c r="F80" s="222">
        <v>8352.68</v>
      </c>
      <c r="G80" s="202">
        <f t="shared" si="23"/>
        <v>2.680000000000291</v>
      </c>
      <c r="H80" s="204">
        <f>F80/E80*100</f>
        <v>100.03209580838323</v>
      </c>
      <c r="I80" s="207">
        <f t="shared" si="24"/>
        <v>2.680000000000291</v>
      </c>
      <c r="J80" s="207">
        <f>F80/D80*100</f>
        <v>100.03209580838323</v>
      </c>
      <c r="K80" s="207">
        <v>0</v>
      </c>
      <c r="L80" s="207">
        <f t="shared" si="25"/>
        <v>8352.68</v>
      </c>
      <c r="M80" s="254"/>
      <c r="N80" s="204">
        <f>E80-листопад!E80</f>
        <v>-1148.7000000000007</v>
      </c>
      <c r="O80" s="208">
        <f>F80-листопад!F80</f>
        <v>2.0200000000004366</v>
      </c>
      <c r="P80" s="207">
        <f>O80-N80</f>
        <v>1150.7200000000012</v>
      </c>
      <c r="Q80" s="231">
        <f>O80/N80*100</f>
        <v>-0.17585096195703276</v>
      </c>
      <c r="R80" s="46"/>
      <c r="S80" s="105"/>
      <c r="T80" s="186">
        <f t="shared" si="27"/>
        <v>0</v>
      </c>
    </row>
    <row r="81" spans="2:20" ht="31.5">
      <c r="B81" s="23" t="s">
        <v>51</v>
      </c>
      <c r="C81" s="78">
        <v>19050000</v>
      </c>
      <c r="D81" s="221">
        <v>0</v>
      </c>
      <c r="E81" s="221">
        <f>D81</f>
        <v>0</v>
      </c>
      <c r="F81" s="222">
        <v>1.48</v>
      </c>
      <c r="G81" s="202">
        <f t="shared" si="23"/>
        <v>1.48</v>
      </c>
      <c r="H81" s="204"/>
      <c r="I81" s="207">
        <f t="shared" si="24"/>
        <v>1.48</v>
      </c>
      <c r="J81" s="207"/>
      <c r="K81" s="207">
        <v>1.43</v>
      </c>
      <c r="L81" s="207">
        <f t="shared" si="25"/>
        <v>0.050000000000000044</v>
      </c>
      <c r="M81" s="254">
        <f>F81/K81</f>
        <v>1.034965034965035</v>
      </c>
      <c r="N81" s="204">
        <f>E81-листопад!E81</f>
        <v>0</v>
      </c>
      <c r="O81" s="208">
        <f>F81-листопад!F81</f>
        <v>0</v>
      </c>
      <c r="P81" s="207">
        <f t="shared" si="26"/>
        <v>0</v>
      </c>
      <c r="Q81" s="207"/>
      <c r="R81" s="43"/>
      <c r="S81" s="103"/>
      <c r="T81" s="186">
        <f t="shared" si="27"/>
        <v>0</v>
      </c>
    </row>
    <row r="82" spans="2:20" ht="30">
      <c r="B82" s="29" t="s">
        <v>48</v>
      </c>
      <c r="C82" s="78"/>
      <c r="D82" s="224">
        <f>D78+D81+D79+D80</f>
        <v>8400</v>
      </c>
      <c r="E82" s="224">
        <f>E78+E81+E79+E80</f>
        <v>8400</v>
      </c>
      <c r="F82" s="225">
        <f>F78+F81+F79+F80</f>
        <v>8424.15</v>
      </c>
      <c r="G82" s="224">
        <f>G78+G81+G79+G80</f>
        <v>24.150000000000286</v>
      </c>
      <c r="H82" s="227">
        <f>F82/E82*100</f>
        <v>100.2875</v>
      </c>
      <c r="I82" s="228">
        <f t="shared" si="24"/>
        <v>24.149999999999636</v>
      </c>
      <c r="J82" s="228">
        <f>F82/D82*100</f>
        <v>100.2875</v>
      </c>
      <c r="K82" s="228">
        <v>2.5</v>
      </c>
      <c r="L82" s="228">
        <f t="shared" si="25"/>
        <v>8421.65</v>
      </c>
      <c r="M82" s="268">
        <f>F82/K82</f>
        <v>3369.66</v>
      </c>
      <c r="N82" s="226">
        <f>N78+N81+N79+N80</f>
        <v>-1098.7000000000007</v>
      </c>
      <c r="O82" s="230">
        <f>O78+O81+O79+O80</f>
        <v>18.070000000000434</v>
      </c>
      <c r="P82" s="226">
        <f>P78+P81+P79+P80</f>
        <v>1116.7700000000011</v>
      </c>
      <c r="Q82" s="228">
        <f>O82/N82*100</f>
        <v>-1.6446709747884247</v>
      </c>
      <c r="R82" s="44"/>
      <c r="S82" s="102"/>
      <c r="T82" s="186">
        <f t="shared" si="27"/>
        <v>0</v>
      </c>
    </row>
    <row r="83" spans="2:20" ht="30.75">
      <c r="B83" s="12" t="s">
        <v>42</v>
      </c>
      <c r="C83" s="48">
        <v>24110900</v>
      </c>
      <c r="D83" s="221">
        <f>43-16</f>
        <v>27</v>
      </c>
      <c r="E83" s="221">
        <f>D83</f>
        <v>27</v>
      </c>
      <c r="F83" s="222">
        <v>35.27</v>
      </c>
      <c r="G83" s="202">
        <f t="shared" si="23"/>
        <v>8.270000000000003</v>
      </c>
      <c r="H83" s="204">
        <f>F83/E83*100</f>
        <v>130.62962962962965</v>
      </c>
      <c r="I83" s="207">
        <f t="shared" si="24"/>
        <v>8.270000000000003</v>
      </c>
      <c r="J83" s="207">
        <f>F83/D83*100</f>
        <v>130.62962962962965</v>
      </c>
      <c r="K83" s="207">
        <v>38.99</v>
      </c>
      <c r="L83" s="207">
        <f t="shared" si="25"/>
        <v>-3.719999999999999</v>
      </c>
      <c r="M83" s="254">
        <f>F83/K83</f>
        <v>0.90459092074891</v>
      </c>
      <c r="N83" s="204">
        <f>E83-листопад!E83</f>
        <v>-3.3599999999999994</v>
      </c>
      <c r="O83" s="208">
        <f>F83-листопад!F83</f>
        <v>7.480000000000004</v>
      </c>
      <c r="P83" s="207">
        <f t="shared" si="26"/>
        <v>10.840000000000003</v>
      </c>
      <c r="Q83" s="207">
        <f>O83/N83</f>
        <v>-2.2261904761904776</v>
      </c>
      <c r="R83" s="43"/>
      <c r="S83" s="103"/>
      <c r="T83" s="186">
        <f t="shared" si="27"/>
        <v>0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6"/>
        <v>0</v>
      </c>
      <c r="Q84" s="207"/>
      <c r="R84" s="43"/>
      <c r="S84" s="103"/>
      <c r="T84" s="186">
        <f t="shared" si="27"/>
        <v>0</v>
      </c>
    </row>
    <row r="85" spans="2:20" ht="23.25" customHeight="1">
      <c r="B85" s="14" t="s">
        <v>32</v>
      </c>
      <c r="C85" s="71"/>
      <c r="D85" s="232">
        <f>D71+D83+D77+D82</f>
        <v>34134</v>
      </c>
      <c r="E85" s="232">
        <f>E71+E83+E77+E82</f>
        <v>34134</v>
      </c>
      <c r="F85" s="232">
        <f>F71+F83+F77+F82+F84</f>
        <v>36100.38</v>
      </c>
      <c r="G85" s="233">
        <f>F85-E85</f>
        <v>1966.3799999999974</v>
      </c>
      <c r="H85" s="234">
        <f>F85/E85*100</f>
        <v>105.76076639128141</v>
      </c>
      <c r="I85" s="235">
        <f>F85-D85</f>
        <v>1966.3799999999974</v>
      </c>
      <c r="J85" s="235">
        <f>F85/D85*100</f>
        <v>105.76076639128141</v>
      </c>
      <c r="K85" s="235">
        <v>11294.63</v>
      </c>
      <c r="L85" s="235">
        <f>F85-K85</f>
        <v>24805.75</v>
      </c>
      <c r="M85" s="269">
        <f>F85/K85</f>
        <v>3.1962428162764076</v>
      </c>
      <c r="N85" s="232">
        <f>N71+N83+N77+N82</f>
        <v>1638.7799999999975</v>
      </c>
      <c r="O85" s="232">
        <f>O71+O83+O77+O82+O84</f>
        <v>5735.3</v>
      </c>
      <c r="P85" s="235">
        <f t="shared" si="26"/>
        <v>4096.520000000002</v>
      </c>
      <c r="Q85" s="235">
        <f>O85/N85*100</f>
        <v>349.97376096852594</v>
      </c>
      <c r="R85" s="28">
        <f>O85-8104.96</f>
        <v>-2369.66</v>
      </c>
      <c r="S85" s="101">
        <f>O85/8104.96</f>
        <v>0.7076284151926722</v>
      </c>
      <c r="T85" s="186">
        <f t="shared" si="27"/>
        <v>0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1076859.73</v>
      </c>
      <c r="F86" s="232">
        <f>F64+F85</f>
        <v>1078150.85</v>
      </c>
      <c r="G86" s="233">
        <f>F86-E86</f>
        <v>1291.1200000001118</v>
      </c>
      <c r="H86" s="234">
        <f>F86/E86*100</f>
        <v>100.11989676687048</v>
      </c>
      <c r="I86" s="235">
        <f>F86-D86</f>
        <v>1291.1200000001118</v>
      </c>
      <c r="J86" s="235">
        <f>F86/D86*100</f>
        <v>100.11989676687048</v>
      </c>
      <c r="K86" s="235">
        <f>K64+K85</f>
        <v>734695.25</v>
      </c>
      <c r="L86" s="235">
        <f>F86-K86</f>
        <v>343455.6000000001</v>
      </c>
      <c r="M86" s="269">
        <f>F86/K86</f>
        <v>1.4674803600540498</v>
      </c>
      <c r="N86" s="233">
        <f>N64+N85</f>
        <v>100734.73000000004</v>
      </c>
      <c r="O86" s="233">
        <f>O64+O85</f>
        <v>96084.77000000008</v>
      </c>
      <c r="P86" s="235">
        <f t="shared" si="26"/>
        <v>-4649.959999999963</v>
      </c>
      <c r="Q86" s="235">
        <f>O86/N86*100</f>
        <v>95.38395546401925</v>
      </c>
      <c r="R86" s="28">
        <f>O86-42872.96</f>
        <v>53211.81000000008</v>
      </c>
      <c r="S86" s="101">
        <f>O86/42872.96</f>
        <v>2.241150832599384</v>
      </c>
      <c r="T86" s="186">
        <f t="shared" si="27"/>
        <v>0</v>
      </c>
    </row>
    <row r="87" spans="2:20" ht="15">
      <c r="B87" s="20" t="s">
        <v>35</v>
      </c>
      <c r="O87" s="26"/>
      <c r="T87" s="186">
        <f t="shared" si="27"/>
        <v>0</v>
      </c>
    </row>
    <row r="88" spans="2:20" ht="15">
      <c r="B88" s="4" t="s">
        <v>37</v>
      </c>
      <c r="C88" s="81">
        <v>2</v>
      </c>
      <c r="D88" s="4" t="s">
        <v>36</v>
      </c>
      <c r="O88" s="83"/>
      <c r="T88" s="186" t="e">
        <f t="shared" si="27"/>
        <v>#VALUE!</v>
      </c>
    </row>
    <row r="89" spans="2:20" ht="30.75">
      <c r="B89" s="57" t="s">
        <v>54</v>
      </c>
      <c r="C89" s="31">
        <f>IF(P64&lt;0,ABS(P64/C88),0)</f>
        <v>4373.239999999983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27"/>
        <v>#VALUE!</v>
      </c>
    </row>
    <row r="90" spans="2:20" ht="34.5" customHeight="1">
      <c r="B90" s="58" t="s">
        <v>56</v>
      </c>
      <c r="C90" s="87">
        <v>42732</v>
      </c>
      <c r="D90" s="31">
        <v>19085.6</v>
      </c>
      <c r="G90" s="4" t="s">
        <v>59</v>
      </c>
      <c r="O90" s="443"/>
      <c r="P90" s="443"/>
      <c r="T90" s="186">
        <f t="shared" si="27"/>
        <v>19085.6</v>
      </c>
    </row>
    <row r="91" spans="3:16" ht="15">
      <c r="C91" s="87">
        <v>42731</v>
      </c>
      <c r="D91" s="31">
        <v>6069.6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42730</v>
      </c>
      <c r="D92" s="31">
        <v>4495.4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.75" customHeight="1">
      <c r="B94" s="451" t="s">
        <v>57</v>
      </c>
      <c r="C94" s="452"/>
      <c r="D94" s="148">
        <v>61972.12151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" customHeight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 hidden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2:16" ht="15" hidden="1">
      <c r="B97" s="4" t="s">
        <v>233</v>
      </c>
      <c r="D97" s="73">
        <f>D45+D48+D49</f>
        <v>1019</v>
      </c>
      <c r="E97" s="73">
        <f>E45+E48+E49</f>
        <v>1019</v>
      </c>
      <c r="F97" s="247">
        <f>F45+F48+F49</f>
        <v>1119.62</v>
      </c>
      <c r="G97" s="73">
        <f>G45+G48+G49</f>
        <v>100.62000000000005</v>
      </c>
      <c r="H97" s="74"/>
      <c r="I97" s="74"/>
      <c r="N97" s="31">
        <f>N45+N48+N49</f>
        <v>39</v>
      </c>
      <c r="O97" s="246">
        <f>O45+O48+O49</f>
        <v>188.0300000000001</v>
      </c>
      <c r="P97" s="31">
        <f>P45+P48+P49</f>
        <v>149.0300000000001</v>
      </c>
    </row>
    <row r="98" spans="4:16" ht="15" hidden="1">
      <c r="D98" s="83"/>
      <c r="I98" s="31"/>
      <c r="O98" s="449"/>
      <c r="P98" s="449"/>
    </row>
    <row r="99" spans="2:17" ht="15" hidden="1">
      <c r="B99" s="4" t="s">
        <v>219</v>
      </c>
      <c r="D99" s="31">
        <f>D9+D15+D17+D18+D19+D20+D39+D42+D56+D62+D63</f>
        <v>975925.6500000001</v>
      </c>
      <c r="E99" s="31">
        <f>E9+E15+E17+E18+E19+E20+E39+E42+E56+E62+E63</f>
        <v>975925.6500000001</v>
      </c>
      <c r="F99" s="414">
        <f>F9+F15+F17+F18+F19+F20+F39+F42+F56+F62+F63</f>
        <v>974121.93</v>
      </c>
      <c r="G99" s="31">
        <f>F99-E99</f>
        <v>-1803.7200000000885</v>
      </c>
      <c r="H99" s="415">
        <f>F99/E99</f>
        <v>0.9981517854357039</v>
      </c>
      <c r="I99" s="31">
        <f>F99-D99</f>
        <v>-1803.7200000000885</v>
      </c>
      <c r="J99" s="415">
        <f>F99/D99</f>
        <v>0.9981517854357039</v>
      </c>
      <c r="N99" s="31">
        <f>N9+N15+N17+N18+N19+N20+N39+N42+N44+N56+N62+N63</f>
        <v>91152.73000000004</v>
      </c>
      <c r="O99" s="414">
        <f>O9+O15+O17+O18+O19+O20+O39+O42+O44+O56+O62+O63</f>
        <v>82955.10000000008</v>
      </c>
      <c r="P99" s="31">
        <f>O99-N99</f>
        <v>-8197.629999999961</v>
      </c>
      <c r="Q99" s="415">
        <f>O99/N99</f>
        <v>0.9100670928890451</v>
      </c>
    </row>
    <row r="100" spans="2:17" ht="15" hidden="1">
      <c r="B100" s="4" t="s">
        <v>220</v>
      </c>
      <c r="D100" s="31">
        <f>D40+D41+D43+D45+D47+D48+D49+D50+D51+D57+D61+D44</f>
        <v>66800.08</v>
      </c>
      <c r="E100" s="31">
        <f>E40+E41+E43+E45+E47+E48+E49+E50+E51+E57+E61+E44</f>
        <v>66800.08</v>
      </c>
      <c r="F100" s="414">
        <f>F40+F41+F43+F45+F47+F48+F49+F50+F51+F57+F61+F44</f>
        <v>67928.54000000001</v>
      </c>
      <c r="G100" s="31">
        <f>G40+G41+G43+G45+G47+G48+G49+G50+G51+G57+G61+G44</f>
        <v>1128.46</v>
      </c>
      <c r="H100" s="415">
        <f>F100/E100</f>
        <v>1.0168930935412055</v>
      </c>
      <c r="I100" s="31">
        <f>I40+I41+I43+I45+I47+I48+I49+I50+I51+I57+I61+I44</f>
        <v>1128.46</v>
      </c>
      <c r="J100" s="415">
        <f>F100/D100</f>
        <v>1.0168930935412055</v>
      </c>
      <c r="K100" s="31">
        <f aca="true" t="shared" si="28" ref="K100:P100">K40+K41+K43+K45+K47+K48+K49+K50+K51+K57+K61+K44</f>
        <v>50668.47</v>
      </c>
      <c r="L100" s="31">
        <f t="shared" si="28"/>
        <v>17260.07</v>
      </c>
      <c r="M100" s="31">
        <f t="shared" si="28"/>
        <v>17.270982681809965</v>
      </c>
      <c r="N100" s="31">
        <f t="shared" si="28"/>
        <v>8014.220000000001</v>
      </c>
      <c r="O100" s="414">
        <f t="shared" si="28"/>
        <v>7394.37</v>
      </c>
      <c r="P100" s="31">
        <f t="shared" si="28"/>
        <v>-548.8500000000008</v>
      </c>
      <c r="Q100" s="415">
        <f>O100/N100</f>
        <v>0.9226562285537455</v>
      </c>
    </row>
    <row r="101" spans="2:17" ht="15" hidden="1">
      <c r="B101" s="4" t="s">
        <v>221</v>
      </c>
      <c r="D101" s="31">
        <f>SUM(D99:D100)</f>
        <v>1042725.7300000001</v>
      </c>
      <c r="E101" s="31">
        <f aca="true" t="shared" si="29" ref="E101:P101">SUM(E99:E100)</f>
        <v>1042725.7300000001</v>
      </c>
      <c r="F101" s="414">
        <f t="shared" si="29"/>
        <v>1042050.4700000001</v>
      </c>
      <c r="G101" s="31">
        <f t="shared" si="29"/>
        <v>-675.2600000000884</v>
      </c>
      <c r="H101" s="415">
        <f>F101/E101</f>
        <v>0.9993524088064845</v>
      </c>
      <c r="I101" s="31">
        <f t="shared" si="29"/>
        <v>-675.2600000000884</v>
      </c>
      <c r="J101" s="415">
        <f>F101/D101</f>
        <v>0.9993524088064845</v>
      </c>
      <c r="K101" s="31">
        <f t="shared" si="29"/>
        <v>50668.47</v>
      </c>
      <c r="L101" s="31">
        <f t="shared" si="29"/>
        <v>17260.07</v>
      </c>
      <c r="M101" s="31">
        <f t="shared" si="29"/>
        <v>17.270982681809965</v>
      </c>
      <c r="N101" s="31">
        <f t="shared" si="29"/>
        <v>99166.95000000004</v>
      </c>
      <c r="O101" s="414">
        <f t="shared" si="29"/>
        <v>90349.47000000007</v>
      </c>
      <c r="P101" s="31">
        <f t="shared" si="29"/>
        <v>-8746.479999999961</v>
      </c>
      <c r="Q101" s="415">
        <f>O101/N101</f>
        <v>0.9110844893384342</v>
      </c>
    </row>
    <row r="102" spans="4:21" ht="15" hidden="1">
      <c r="D102" s="31">
        <f>D64-D101</f>
        <v>0</v>
      </c>
      <c r="E102" s="31">
        <f aca="true" t="shared" si="30" ref="E102:U102">E64-E101</f>
        <v>0</v>
      </c>
      <c r="F102" s="31">
        <f t="shared" si="30"/>
        <v>0</v>
      </c>
      <c r="G102" s="31">
        <f t="shared" si="30"/>
        <v>7.912603905424476E-11</v>
      </c>
      <c r="H102" s="415"/>
      <c r="I102" s="31">
        <f t="shared" si="30"/>
        <v>7.912603905424476E-11</v>
      </c>
      <c r="J102" s="415"/>
      <c r="K102" s="31">
        <f t="shared" si="30"/>
        <v>672732.15</v>
      </c>
      <c r="L102" s="31">
        <f t="shared" si="30"/>
        <v>301389.7800000001</v>
      </c>
      <c r="M102" s="31">
        <f t="shared" si="30"/>
        <v>-15.830493910871395</v>
      </c>
      <c r="N102" s="31">
        <f t="shared" si="30"/>
        <v>-71</v>
      </c>
      <c r="O102" s="31">
        <f t="shared" si="30"/>
        <v>0</v>
      </c>
      <c r="P102" s="31">
        <f t="shared" si="30"/>
        <v>0</v>
      </c>
      <c r="Q102" s="31"/>
      <c r="R102" s="31">
        <f t="shared" si="30"/>
        <v>55581.470000000074</v>
      </c>
      <c r="S102" s="31">
        <f t="shared" si="30"/>
        <v>2.5986386907501173</v>
      </c>
      <c r="T102" s="31">
        <f t="shared" si="30"/>
        <v>0</v>
      </c>
      <c r="U102" s="31">
        <f t="shared" si="30"/>
        <v>0</v>
      </c>
    </row>
    <row r="103" ht="15" hidden="1">
      <c r="E103" s="4" t="s">
        <v>59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6" t="s">
        <v>148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26" t="s">
        <v>147</v>
      </c>
      <c r="N3" s="429" t="s">
        <v>143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146</v>
      </c>
      <c r="F4" s="457" t="s">
        <v>34</v>
      </c>
      <c r="G4" s="434" t="s">
        <v>141</v>
      </c>
      <c r="H4" s="427" t="s">
        <v>142</v>
      </c>
      <c r="I4" s="434" t="s">
        <v>122</v>
      </c>
      <c r="J4" s="427" t="s">
        <v>123</v>
      </c>
      <c r="K4" s="91" t="s">
        <v>65</v>
      </c>
      <c r="L4" s="96" t="s">
        <v>64</v>
      </c>
      <c r="M4" s="427"/>
      <c r="N4" s="436" t="s">
        <v>149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78.75" customHeight="1">
      <c r="A5" s="419"/>
      <c r="B5" s="420"/>
      <c r="C5" s="421"/>
      <c r="D5" s="422"/>
      <c r="E5" s="431"/>
      <c r="F5" s="458"/>
      <c r="G5" s="435"/>
      <c r="H5" s="428"/>
      <c r="I5" s="435"/>
      <c r="J5" s="428"/>
      <c r="K5" s="439" t="s">
        <v>144</v>
      </c>
      <c r="L5" s="441"/>
      <c r="M5" s="428"/>
      <c r="N5" s="437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42"/>
      <c r="H83" s="442"/>
      <c r="I83" s="442"/>
      <c r="J83" s="442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43"/>
      <c r="O84" s="443"/>
    </row>
    <row r="85" spans="3:15" ht="15">
      <c r="C85" s="87">
        <v>42459</v>
      </c>
      <c r="D85" s="31">
        <v>7576.3</v>
      </c>
      <c r="F85" s="124" t="s">
        <v>59</v>
      </c>
      <c r="G85" s="444"/>
      <c r="H85" s="444"/>
      <c r="I85" s="131"/>
      <c r="J85" s="445"/>
      <c r="K85" s="445"/>
      <c r="L85" s="445"/>
      <c r="M85" s="445"/>
      <c r="N85" s="443"/>
      <c r="O85" s="443"/>
    </row>
    <row r="86" spans="3:15" ht="15.75" customHeight="1">
      <c r="C86" s="87">
        <v>42458</v>
      </c>
      <c r="D86" s="31">
        <v>9190.1</v>
      </c>
      <c r="F86" s="73"/>
      <c r="G86" s="444"/>
      <c r="H86" s="444"/>
      <c r="I86" s="131"/>
      <c r="J86" s="446"/>
      <c r="K86" s="446"/>
      <c r="L86" s="446"/>
      <c r="M86" s="446"/>
      <c r="N86" s="443"/>
      <c r="O86" s="443"/>
    </row>
    <row r="87" spans="3:13" ht="15.75" customHeight="1">
      <c r="C87" s="87"/>
      <c r="F87" s="73"/>
      <c r="G87" s="450"/>
      <c r="H87" s="450"/>
      <c r="I87" s="139"/>
      <c r="J87" s="445"/>
      <c r="K87" s="445"/>
      <c r="L87" s="445"/>
      <c r="M87" s="445"/>
    </row>
    <row r="88" spans="2:13" ht="18.75" customHeight="1">
      <c r="B88" s="451" t="s">
        <v>57</v>
      </c>
      <c r="C88" s="452"/>
      <c r="D88" s="148">
        <f>4343.7</f>
        <v>4343.7</v>
      </c>
      <c r="E88" s="74"/>
      <c r="F88" s="140" t="s">
        <v>137</v>
      </c>
      <c r="G88" s="444"/>
      <c r="H88" s="444"/>
      <c r="I88" s="141"/>
      <c r="J88" s="445"/>
      <c r="K88" s="445"/>
      <c r="L88" s="445"/>
      <c r="M88" s="445"/>
    </row>
    <row r="89" spans="6:12" ht="9.75" customHeight="1">
      <c r="F89" s="73"/>
      <c r="G89" s="444"/>
      <c r="H89" s="444"/>
      <c r="I89" s="73"/>
      <c r="J89" s="74"/>
      <c r="K89" s="74"/>
      <c r="L89" s="74"/>
    </row>
    <row r="90" spans="2:12" ht="22.5" customHeight="1" hidden="1">
      <c r="B90" s="447" t="s">
        <v>60</v>
      </c>
      <c r="C90" s="448"/>
      <c r="D90" s="86">
        <v>0</v>
      </c>
      <c r="E90" s="56" t="s">
        <v>24</v>
      </c>
      <c r="F90" s="73"/>
      <c r="G90" s="444"/>
      <c r="H90" s="44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4"/>
      <c r="O91" s="444"/>
    </row>
    <row r="92" spans="4:15" ht="15">
      <c r="D92" s="83"/>
      <c r="I92" s="31"/>
      <c r="N92" s="449"/>
      <c r="O92" s="449"/>
    </row>
    <row r="93" spans="14:15" ht="15">
      <c r="N93" s="444"/>
      <c r="O93" s="444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6" t="s">
        <v>139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59" t="s">
        <v>128</v>
      </c>
      <c r="N3" s="429" t="s">
        <v>119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127</v>
      </c>
      <c r="F4" s="457" t="s">
        <v>34</v>
      </c>
      <c r="G4" s="434" t="s">
        <v>116</v>
      </c>
      <c r="H4" s="427" t="s">
        <v>117</v>
      </c>
      <c r="I4" s="434" t="s">
        <v>122</v>
      </c>
      <c r="J4" s="427" t="s">
        <v>123</v>
      </c>
      <c r="K4" s="91" t="s">
        <v>65</v>
      </c>
      <c r="L4" s="96" t="s">
        <v>64</v>
      </c>
      <c r="M4" s="427"/>
      <c r="N4" s="436" t="s">
        <v>140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92.25" customHeight="1">
      <c r="A5" s="419"/>
      <c r="B5" s="420"/>
      <c r="C5" s="421"/>
      <c r="D5" s="422"/>
      <c r="E5" s="431"/>
      <c r="F5" s="458"/>
      <c r="G5" s="435"/>
      <c r="H5" s="428"/>
      <c r="I5" s="435"/>
      <c r="J5" s="428"/>
      <c r="K5" s="439" t="s">
        <v>118</v>
      </c>
      <c r="L5" s="441"/>
      <c r="M5" s="428"/>
      <c r="N5" s="437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42"/>
      <c r="H83" s="442"/>
      <c r="I83" s="442"/>
      <c r="J83" s="442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43"/>
      <c r="O84" s="443"/>
    </row>
    <row r="85" spans="3:15" ht="15">
      <c r="C85" s="87">
        <v>42426</v>
      </c>
      <c r="D85" s="31">
        <v>6256.2</v>
      </c>
      <c r="F85" s="124" t="s">
        <v>59</v>
      </c>
      <c r="G85" s="444"/>
      <c r="H85" s="444"/>
      <c r="I85" s="131"/>
      <c r="J85" s="445"/>
      <c r="K85" s="445"/>
      <c r="L85" s="445"/>
      <c r="M85" s="445"/>
      <c r="N85" s="443"/>
      <c r="O85" s="443"/>
    </row>
    <row r="86" spans="3:15" ht="15.75" customHeight="1">
      <c r="C86" s="87">
        <v>42425</v>
      </c>
      <c r="D86" s="31">
        <v>3536.9</v>
      </c>
      <c r="F86" s="73"/>
      <c r="G86" s="444"/>
      <c r="H86" s="444"/>
      <c r="I86" s="131"/>
      <c r="J86" s="446"/>
      <c r="K86" s="446"/>
      <c r="L86" s="446"/>
      <c r="M86" s="446"/>
      <c r="N86" s="443"/>
      <c r="O86" s="443"/>
    </row>
    <row r="87" spans="3:13" ht="15.75" customHeight="1">
      <c r="C87" s="87"/>
      <c r="F87" s="73"/>
      <c r="G87" s="450"/>
      <c r="H87" s="450"/>
      <c r="I87" s="139"/>
      <c r="J87" s="445"/>
      <c r="K87" s="445"/>
      <c r="L87" s="445"/>
      <c r="M87" s="445"/>
    </row>
    <row r="88" spans="2:13" ht="18.75" customHeight="1">
      <c r="B88" s="451" t="s">
        <v>57</v>
      </c>
      <c r="C88" s="452"/>
      <c r="D88" s="148">
        <v>505.3</v>
      </c>
      <c r="E88" s="74"/>
      <c r="F88" s="140" t="s">
        <v>137</v>
      </c>
      <c r="G88" s="444"/>
      <c r="H88" s="444"/>
      <c r="I88" s="141"/>
      <c r="J88" s="445"/>
      <c r="K88" s="445"/>
      <c r="L88" s="445"/>
      <c r="M88" s="445"/>
    </row>
    <row r="89" spans="6:12" ht="9.75" customHeight="1">
      <c r="F89" s="73"/>
      <c r="G89" s="444"/>
      <c r="H89" s="444"/>
      <c r="I89" s="73"/>
      <c r="J89" s="74"/>
      <c r="K89" s="74"/>
      <c r="L89" s="74"/>
    </row>
    <row r="90" spans="2:12" ht="22.5" customHeight="1" hidden="1">
      <c r="B90" s="447" t="s">
        <v>60</v>
      </c>
      <c r="C90" s="448"/>
      <c r="D90" s="86">
        <v>0</v>
      </c>
      <c r="E90" s="56" t="s">
        <v>24</v>
      </c>
      <c r="F90" s="73"/>
      <c r="G90" s="444"/>
      <c r="H90" s="44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4"/>
      <c r="O91" s="444"/>
    </row>
    <row r="92" spans="4:15" ht="15">
      <c r="D92" s="83"/>
      <c r="I92" s="31"/>
      <c r="N92" s="449"/>
      <c r="O92" s="449"/>
    </row>
    <row r="93" spans="14:15" ht="15">
      <c r="N93" s="444"/>
      <c r="O93" s="444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4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27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6" t="s">
        <v>114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 t="s">
        <v>135</v>
      </c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59" t="s">
        <v>132</v>
      </c>
      <c r="N3" s="429" t="s">
        <v>66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129</v>
      </c>
      <c r="F4" s="457" t="s">
        <v>34</v>
      </c>
      <c r="G4" s="434" t="s">
        <v>130</v>
      </c>
      <c r="H4" s="427" t="s">
        <v>131</v>
      </c>
      <c r="I4" s="434" t="s">
        <v>122</v>
      </c>
      <c r="J4" s="427" t="s">
        <v>123</v>
      </c>
      <c r="K4" s="91" t="s">
        <v>65</v>
      </c>
      <c r="L4" s="96" t="s">
        <v>64</v>
      </c>
      <c r="M4" s="427"/>
      <c r="N4" s="460" t="s">
        <v>133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92.25" customHeight="1">
      <c r="A5" s="419"/>
      <c r="B5" s="420"/>
      <c r="C5" s="421"/>
      <c r="D5" s="422"/>
      <c r="E5" s="431"/>
      <c r="F5" s="458"/>
      <c r="G5" s="435"/>
      <c r="H5" s="428"/>
      <c r="I5" s="435"/>
      <c r="J5" s="428"/>
      <c r="K5" s="439" t="s">
        <v>134</v>
      </c>
      <c r="L5" s="441"/>
      <c r="M5" s="428"/>
      <c r="N5" s="461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42"/>
      <c r="H83" s="442"/>
      <c r="I83" s="442"/>
      <c r="J83" s="442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43"/>
      <c r="O84" s="443"/>
    </row>
    <row r="85" spans="3:15" ht="15">
      <c r="C85" s="87">
        <v>42397</v>
      </c>
      <c r="D85" s="31">
        <v>8685</v>
      </c>
      <c r="F85" s="124" t="s">
        <v>59</v>
      </c>
      <c r="G85" s="444"/>
      <c r="H85" s="444"/>
      <c r="I85" s="131"/>
      <c r="J85" s="445"/>
      <c r="K85" s="445"/>
      <c r="L85" s="445"/>
      <c r="M85" s="445"/>
      <c r="N85" s="443"/>
      <c r="O85" s="443"/>
    </row>
    <row r="86" spans="3:15" ht="15.75" customHeight="1">
      <c r="C86" s="87">
        <v>42396</v>
      </c>
      <c r="D86" s="31">
        <v>4820.3</v>
      </c>
      <c r="F86" s="73"/>
      <c r="G86" s="444"/>
      <c r="H86" s="444"/>
      <c r="I86" s="131"/>
      <c r="J86" s="446"/>
      <c r="K86" s="446"/>
      <c r="L86" s="446"/>
      <c r="M86" s="446"/>
      <c r="N86" s="443"/>
      <c r="O86" s="443"/>
    </row>
    <row r="87" spans="3:13" ht="15.75" customHeight="1">
      <c r="C87" s="87"/>
      <c r="F87" s="73"/>
      <c r="G87" s="450"/>
      <c r="H87" s="450"/>
      <c r="I87" s="139"/>
      <c r="J87" s="445"/>
      <c r="K87" s="445"/>
      <c r="L87" s="445"/>
      <c r="M87" s="445"/>
    </row>
    <row r="88" spans="2:13" ht="18.75" customHeight="1">
      <c r="B88" s="451" t="s">
        <v>57</v>
      </c>
      <c r="C88" s="452"/>
      <c r="D88" s="148">
        <v>300.92</v>
      </c>
      <c r="E88" s="74"/>
      <c r="F88" s="140"/>
      <c r="G88" s="444"/>
      <c r="H88" s="444"/>
      <c r="I88" s="141"/>
      <c r="J88" s="445"/>
      <c r="K88" s="445"/>
      <c r="L88" s="445"/>
      <c r="M88" s="445"/>
    </row>
    <row r="89" spans="6:12" ht="9.75" customHeight="1">
      <c r="F89" s="73"/>
      <c r="G89" s="444"/>
      <c r="H89" s="444"/>
      <c r="I89" s="73"/>
      <c r="J89" s="74"/>
      <c r="K89" s="74"/>
      <c r="L89" s="74"/>
    </row>
    <row r="90" spans="2:12" ht="22.5" customHeight="1" hidden="1">
      <c r="B90" s="447" t="s">
        <v>60</v>
      </c>
      <c r="C90" s="448"/>
      <c r="D90" s="86">
        <v>0</v>
      </c>
      <c r="E90" s="56" t="s">
        <v>24</v>
      </c>
      <c r="F90" s="73"/>
      <c r="G90" s="444"/>
      <c r="H90" s="44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4"/>
      <c r="O91" s="444"/>
    </row>
    <row r="92" spans="4:15" ht="15">
      <c r="D92" s="83"/>
      <c r="I92" s="31"/>
      <c r="N92" s="449"/>
      <c r="O92" s="449"/>
    </row>
    <row r="93" spans="14:15" ht="15">
      <c r="N93" s="444"/>
      <c r="O93" s="444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6" t="s">
        <v>114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 t="s">
        <v>136</v>
      </c>
      <c r="C3" s="421" t="s">
        <v>0</v>
      </c>
      <c r="D3" s="422" t="s">
        <v>115</v>
      </c>
      <c r="E3" s="34"/>
      <c r="F3" s="423" t="s">
        <v>26</v>
      </c>
      <c r="G3" s="424"/>
      <c r="H3" s="424"/>
      <c r="I3" s="424"/>
      <c r="J3" s="425"/>
      <c r="K3" s="89"/>
      <c r="L3" s="89"/>
      <c r="M3" s="459" t="s">
        <v>107</v>
      </c>
      <c r="N3" s="429" t="s">
        <v>66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104</v>
      </c>
      <c r="F4" s="462" t="s">
        <v>34</v>
      </c>
      <c r="G4" s="434" t="s">
        <v>109</v>
      </c>
      <c r="H4" s="427" t="s">
        <v>110</v>
      </c>
      <c r="I4" s="434" t="s">
        <v>105</v>
      </c>
      <c r="J4" s="427" t="s">
        <v>106</v>
      </c>
      <c r="K4" s="91" t="s">
        <v>65</v>
      </c>
      <c r="L4" s="96" t="s">
        <v>64</v>
      </c>
      <c r="M4" s="427"/>
      <c r="N4" s="460" t="s">
        <v>103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76.5" customHeight="1">
      <c r="A5" s="419"/>
      <c r="B5" s="420"/>
      <c r="C5" s="421"/>
      <c r="D5" s="422"/>
      <c r="E5" s="431"/>
      <c r="F5" s="463"/>
      <c r="G5" s="435"/>
      <c r="H5" s="428"/>
      <c r="I5" s="435"/>
      <c r="J5" s="428"/>
      <c r="K5" s="439" t="s">
        <v>108</v>
      </c>
      <c r="L5" s="441"/>
      <c r="M5" s="428"/>
      <c r="N5" s="461"/>
      <c r="O5" s="435"/>
      <c r="P5" s="438"/>
      <c r="Q5" s="439" t="s">
        <v>126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42"/>
      <c r="H82" s="442"/>
      <c r="I82" s="442"/>
      <c r="J82" s="442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43"/>
      <c r="O83" s="443"/>
    </row>
    <row r="84" spans="3:15" ht="15">
      <c r="C84" s="87">
        <v>42397</v>
      </c>
      <c r="D84" s="31">
        <v>8685</v>
      </c>
      <c r="F84" s="166" t="s">
        <v>59</v>
      </c>
      <c r="G84" s="444"/>
      <c r="H84" s="444"/>
      <c r="I84" s="131"/>
      <c r="J84" s="445"/>
      <c r="K84" s="445"/>
      <c r="L84" s="445"/>
      <c r="M84" s="445"/>
      <c r="N84" s="443"/>
      <c r="O84" s="443"/>
    </row>
    <row r="85" spans="3:15" ht="15.75" customHeight="1">
      <c r="C85" s="87">
        <v>42396</v>
      </c>
      <c r="D85" s="31">
        <v>4820.3</v>
      </c>
      <c r="F85" s="167"/>
      <c r="G85" s="444"/>
      <c r="H85" s="444"/>
      <c r="I85" s="131"/>
      <c r="J85" s="446"/>
      <c r="K85" s="446"/>
      <c r="L85" s="446"/>
      <c r="M85" s="446"/>
      <c r="N85" s="443"/>
      <c r="O85" s="443"/>
    </row>
    <row r="86" spans="3:13" ht="15.75" customHeight="1">
      <c r="C86" s="87"/>
      <c r="F86" s="167"/>
      <c r="G86" s="450"/>
      <c r="H86" s="450"/>
      <c r="I86" s="139"/>
      <c r="J86" s="445"/>
      <c r="K86" s="445"/>
      <c r="L86" s="445"/>
      <c r="M86" s="445"/>
    </row>
    <row r="87" spans="2:13" ht="18.75" customHeight="1">
      <c r="B87" s="451" t="s">
        <v>57</v>
      </c>
      <c r="C87" s="452"/>
      <c r="D87" s="148">
        <v>300.92</v>
      </c>
      <c r="E87" s="74"/>
      <c r="F87" s="168"/>
      <c r="G87" s="444"/>
      <c r="H87" s="444"/>
      <c r="I87" s="141"/>
      <c r="J87" s="445"/>
      <c r="K87" s="445"/>
      <c r="L87" s="445"/>
      <c r="M87" s="445"/>
    </row>
    <row r="88" spans="6:12" ht="9.75" customHeight="1">
      <c r="F88" s="167"/>
      <c r="G88" s="444"/>
      <c r="H88" s="444"/>
      <c r="I88" s="73"/>
      <c r="J88" s="74"/>
      <c r="K88" s="74"/>
      <c r="L88" s="74"/>
    </row>
    <row r="89" spans="2:12" ht="22.5" customHeight="1" hidden="1">
      <c r="B89" s="447" t="s">
        <v>60</v>
      </c>
      <c r="C89" s="448"/>
      <c r="D89" s="86">
        <v>0</v>
      </c>
      <c r="E89" s="56" t="s">
        <v>24</v>
      </c>
      <c r="F89" s="167"/>
      <c r="G89" s="444"/>
      <c r="H89" s="444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44"/>
      <c r="O90" s="444"/>
    </row>
    <row r="91" spans="4:15" ht="15">
      <c r="D91" s="83"/>
      <c r="I91" s="31"/>
      <c r="N91" s="449"/>
      <c r="O91" s="449"/>
    </row>
    <row r="92" spans="14:15" ht="15">
      <c r="N92" s="444"/>
      <c r="O92" s="444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416" t="s">
        <v>222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M2" s="1" t="s">
        <v>24</v>
      </c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225</v>
      </c>
      <c r="O3" s="429" t="s">
        <v>217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216</v>
      </c>
      <c r="F4" s="432" t="s">
        <v>34</v>
      </c>
      <c r="G4" s="434" t="s">
        <v>223</v>
      </c>
      <c r="H4" s="427" t="s">
        <v>224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226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218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884421.85</v>
      </c>
      <c r="F8" s="191">
        <f>F9+F15+F18+F19+F20+F37+F17</f>
        <v>890598.47</v>
      </c>
      <c r="G8" s="191">
        <f aca="true" t="shared" si="0" ref="G8:G37">F8-E8</f>
        <v>6176.619999999995</v>
      </c>
      <c r="H8" s="192">
        <f>F8/E8*100</f>
        <v>100.69837939892598</v>
      </c>
      <c r="I8" s="193">
        <f>F8-D8</f>
        <v>-66472.9800000001</v>
      </c>
      <c r="J8" s="193">
        <f>F8/D8*100</f>
        <v>93.05454362890042</v>
      </c>
      <c r="K8" s="191">
        <v>608809.78</v>
      </c>
      <c r="L8" s="191">
        <f aca="true" t="shared" si="1" ref="L8:L51">F8-K8</f>
        <v>281788.68999999994</v>
      </c>
      <c r="M8" s="250">
        <f aca="true" t="shared" si="2" ref="M8:M28">F8/K8</f>
        <v>1.4628517794178666</v>
      </c>
      <c r="N8" s="191">
        <f>N9+N15+N18+N19+N20+N17</f>
        <v>88745.92000000001</v>
      </c>
      <c r="O8" s="191">
        <f>O9+O15+O18+O19+O20+O17</f>
        <v>92979.70999999998</v>
      </c>
      <c r="P8" s="191">
        <f>O8-N8</f>
        <v>4233.7899999999645</v>
      </c>
      <c r="Q8" s="191">
        <f>O8/N8*100</f>
        <v>104.77068692284665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481720.67</v>
      </c>
      <c r="F9" s="196">
        <v>480042.75</v>
      </c>
      <c r="G9" s="190">
        <f t="shared" si="0"/>
        <v>-1677.9199999999837</v>
      </c>
      <c r="H9" s="197">
        <f>F9/E9*100</f>
        <v>99.65168195917357</v>
      </c>
      <c r="I9" s="198">
        <f>F9-D9</f>
        <v>-50546.25</v>
      </c>
      <c r="J9" s="198">
        <f>F9/D9*100</f>
        <v>90.47355863012613</v>
      </c>
      <c r="K9" s="412">
        <v>329224.03</v>
      </c>
      <c r="L9" s="199">
        <f t="shared" si="1"/>
        <v>150818.71999999997</v>
      </c>
      <c r="M9" s="251">
        <f t="shared" si="2"/>
        <v>1.458103620200506</v>
      </c>
      <c r="N9" s="197">
        <f>E9-жовтень!E9</f>
        <v>52597</v>
      </c>
      <c r="O9" s="200">
        <f>F9-жовтень!F9</f>
        <v>48759.96000000002</v>
      </c>
      <c r="P9" s="201">
        <f>O9-N9</f>
        <v>-3837.039999999979</v>
      </c>
      <c r="Q9" s="198">
        <f>O9/N9*100</f>
        <v>92.70483107401567</v>
      </c>
      <c r="R9" s="106"/>
      <c r="S9" s="107"/>
      <c r="T9" s="186">
        <f>D9-E9</f>
        <v>48868.330000000016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437450.24</v>
      </c>
      <c r="F10" s="171">
        <v>422134.8</v>
      </c>
      <c r="G10" s="109">
        <f t="shared" si="0"/>
        <v>-15315.440000000002</v>
      </c>
      <c r="H10" s="32">
        <f aca="true" t="shared" si="3" ref="H10:H36">F10/E10*100</f>
        <v>96.49892979827831</v>
      </c>
      <c r="I10" s="110">
        <f aca="true" t="shared" si="4" ref="I10:I37">F10-D10</f>
        <v>-63074.20000000001</v>
      </c>
      <c r="J10" s="110">
        <f aca="true" t="shared" si="5" ref="J10:J36">F10/D10*100</f>
        <v>87.00061210735993</v>
      </c>
      <c r="K10" s="112">
        <v>292222.53</v>
      </c>
      <c r="L10" s="112">
        <f t="shared" si="1"/>
        <v>129912.26999999996</v>
      </c>
      <c r="M10" s="252">
        <f t="shared" si="2"/>
        <v>1.4445662351906952</v>
      </c>
      <c r="N10" s="111">
        <f>E10-жовтень!E10</f>
        <v>51300</v>
      </c>
      <c r="O10" s="179">
        <f>F10-жовтень!F10</f>
        <v>42686.45000000001</v>
      </c>
      <c r="P10" s="112">
        <f aca="true" t="shared" si="6" ref="P10:P37">O10-N10</f>
        <v>-8613.549999999988</v>
      </c>
      <c r="Q10" s="198">
        <f aca="true" t="shared" si="7" ref="Q10:Q16">O10/N10*100</f>
        <v>83.20945419103316</v>
      </c>
      <c r="R10" s="42"/>
      <c r="S10" s="100"/>
      <c r="T10" s="186">
        <f aca="true" t="shared" si="8" ref="T10:T73">D10-E10</f>
        <v>47758.76000000001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22914.94</v>
      </c>
      <c r="F11" s="171">
        <v>36721.72</v>
      </c>
      <c r="G11" s="109">
        <f t="shared" si="0"/>
        <v>13806.780000000002</v>
      </c>
      <c r="H11" s="32">
        <f t="shared" si="3"/>
        <v>160.25230701018637</v>
      </c>
      <c r="I11" s="110">
        <f t="shared" si="4"/>
        <v>13721.720000000001</v>
      </c>
      <c r="J11" s="110">
        <f t="shared" si="5"/>
        <v>159.65965217391306</v>
      </c>
      <c r="K11" s="112">
        <v>17520.05</v>
      </c>
      <c r="L11" s="112">
        <f t="shared" si="1"/>
        <v>19201.670000000002</v>
      </c>
      <c r="M11" s="252">
        <f t="shared" si="2"/>
        <v>2.0959826027893755</v>
      </c>
      <c r="N11" s="111">
        <f>E11-жовтень!E11</f>
        <v>100</v>
      </c>
      <c r="O11" s="179">
        <f>F11-жовтень!F11</f>
        <v>3957.6200000000026</v>
      </c>
      <c r="P11" s="112">
        <f t="shared" si="6"/>
        <v>3857.6200000000026</v>
      </c>
      <c r="Q11" s="198">
        <f t="shared" si="7"/>
        <v>3957.6200000000026</v>
      </c>
      <c r="R11" s="42"/>
      <c r="S11" s="100"/>
      <c r="T11" s="186">
        <f t="shared" si="8"/>
        <v>85.06000000000131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6460.61</v>
      </c>
      <c r="F12" s="171">
        <v>9317.93</v>
      </c>
      <c r="G12" s="109">
        <f t="shared" si="0"/>
        <v>2857.3200000000006</v>
      </c>
      <c r="H12" s="32">
        <f t="shared" si="3"/>
        <v>144.22678353901568</v>
      </c>
      <c r="I12" s="110">
        <f t="shared" si="4"/>
        <v>2817.9300000000003</v>
      </c>
      <c r="J12" s="110">
        <f t="shared" si="5"/>
        <v>143.35276923076924</v>
      </c>
      <c r="K12" s="112">
        <v>4581.23</v>
      </c>
      <c r="L12" s="112">
        <f t="shared" si="1"/>
        <v>4736.700000000001</v>
      </c>
      <c r="M12" s="252">
        <f t="shared" si="2"/>
        <v>2.0339363009497453</v>
      </c>
      <c r="N12" s="111">
        <f>E12-жовтень!E12</f>
        <v>80</v>
      </c>
      <c r="O12" s="179">
        <f>F12-жовтень!F12</f>
        <v>1341.3600000000006</v>
      </c>
      <c r="P12" s="112">
        <f t="shared" si="6"/>
        <v>1261.3600000000006</v>
      </c>
      <c r="Q12" s="198">
        <f t="shared" si="7"/>
        <v>1676.7000000000007</v>
      </c>
      <c r="R12" s="42"/>
      <c r="S12" s="100"/>
      <c r="T12" s="186">
        <f t="shared" si="8"/>
        <v>39.39000000000033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11414.84</v>
      </c>
      <c r="F13" s="171">
        <v>8900.13</v>
      </c>
      <c r="G13" s="109">
        <f t="shared" si="0"/>
        <v>-2514.710000000001</v>
      </c>
      <c r="H13" s="32">
        <f t="shared" si="3"/>
        <v>77.96981823661127</v>
      </c>
      <c r="I13" s="110">
        <f t="shared" si="4"/>
        <v>-3499.870000000001</v>
      </c>
      <c r="J13" s="110">
        <f t="shared" si="5"/>
        <v>71.77524193548386</v>
      </c>
      <c r="K13" s="112">
        <v>6730.35</v>
      </c>
      <c r="L13" s="112">
        <f t="shared" si="1"/>
        <v>2169.779999999999</v>
      </c>
      <c r="M13" s="252">
        <f t="shared" si="2"/>
        <v>1.3223873944148519</v>
      </c>
      <c r="N13" s="111">
        <f>E13-жовтень!E13</f>
        <v>1100</v>
      </c>
      <c r="O13" s="179">
        <f>F13-жовтень!F13</f>
        <v>550.3399999999983</v>
      </c>
      <c r="P13" s="112">
        <f t="shared" si="6"/>
        <v>-549.6600000000017</v>
      </c>
      <c r="Q13" s="198">
        <f t="shared" si="7"/>
        <v>50.030909090908935</v>
      </c>
      <c r="R13" s="42"/>
      <c r="S13" s="100"/>
      <c r="T13" s="186">
        <f t="shared" si="8"/>
        <v>985.1599999999999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3480.04</v>
      </c>
      <c r="F14" s="171">
        <v>2968.16</v>
      </c>
      <c r="G14" s="109">
        <f t="shared" si="0"/>
        <v>-511.8800000000001</v>
      </c>
      <c r="H14" s="32">
        <f t="shared" si="3"/>
        <v>85.29097366696934</v>
      </c>
      <c r="I14" s="110">
        <f t="shared" si="4"/>
        <v>-511.84000000000015</v>
      </c>
      <c r="J14" s="110">
        <f t="shared" si="5"/>
        <v>85.2919540229885</v>
      </c>
      <c r="K14" s="112">
        <v>8169.86</v>
      </c>
      <c r="L14" s="112">
        <f t="shared" si="1"/>
        <v>-5201.7</v>
      </c>
      <c r="M14" s="252">
        <f t="shared" si="2"/>
        <v>0.3633061031645585</v>
      </c>
      <c r="N14" s="111">
        <f>E14-жовтень!E14</f>
        <v>17</v>
      </c>
      <c r="O14" s="179">
        <f>F14-жовтень!F14</f>
        <v>224.17000000000007</v>
      </c>
      <c r="P14" s="112">
        <f t="shared" si="6"/>
        <v>207.17000000000007</v>
      </c>
      <c r="Q14" s="198">
        <f t="shared" si="7"/>
        <v>1318.64705882353</v>
      </c>
      <c r="R14" s="42"/>
      <c r="S14" s="100"/>
      <c r="T14" s="186">
        <f t="shared" si="8"/>
        <v>-0.03999999999996362</v>
      </c>
      <c r="U14" s="273">
        <v>2880</v>
      </c>
      <c r="V14" s="186">
        <f>U14-T14</f>
        <v>2880.04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495</v>
      </c>
      <c r="F15" s="196">
        <v>408.11</v>
      </c>
      <c r="G15" s="190">
        <f t="shared" si="0"/>
        <v>-86.88999999999999</v>
      </c>
      <c r="H15" s="197">
        <f>F15/E15*100</f>
        <v>82.44646464646465</v>
      </c>
      <c r="I15" s="198">
        <f t="shared" si="4"/>
        <v>-91.88999999999999</v>
      </c>
      <c r="J15" s="198">
        <f t="shared" si="5"/>
        <v>81.622</v>
      </c>
      <c r="K15" s="201">
        <v>-536.92</v>
      </c>
      <c r="L15" s="201">
        <f t="shared" si="1"/>
        <v>945.03</v>
      </c>
      <c r="M15" s="253">
        <f t="shared" si="2"/>
        <v>-0.7600946137227148</v>
      </c>
      <c r="N15" s="197">
        <f>E15-жовтень!E15</f>
        <v>115</v>
      </c>
      <c r="O15" s="200">
        <f>F15-жовтень!F15</f>
        <v>21.29000000000002</v>
      </c>
      <c r="P15" s="201">
        <f t="shared" si="6"/>
        <v>-93.70999999999998</v>
      </c>
      <c r="Q15" s="198">
        <f t="shared" si="7"/>
        <v>18.513043478260887</v>
      </c>
      <c r="R15" s="42"/>
      <c r="S15" s="100"/>
      <c r="T15" s="186">
        <f t="shared" si="8"/>
        <v>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E16-жовтень!E16</f>
        <v>0</v>
      </c>
      <c r="O16" s="200">
        <f>F16-жовтень!F16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E17-жовтень!E17</f>
        <v>0</v>
      </c>
      <c r="O17" s="200">
        <f>F17-жовтень!F17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124.7</v>
      </c>
      <c r="G18" s="190">
        <f t="shared" si="0"/>
        <v>18.900000000000006</v>
      </c>
      <c r="H18" s="197">
        <f t="shared" si="3"/>
        <v>117.86389413988658</v>
      </c>
      <c r="I18" s="198">
        <f t="shared" si="4"/>
        <v>18.900000000000006</v>
      </c>
      <c r="J18" s="198">
        <f t="shared" si="5"/>
        <v>117.86389413988658</v>
      </c>
      <c r="K18" s="201">
        <v>107.4</v>
      </c>
      <c r="L18" s="201">
        <f t="shared" si="1"/>
        <v>17.299999999999997</v>
      </c>
      <c r="M18" s="253">
        <f t="shared" si="2"/>
        <v>1.1610800744878957</v>
      </c>
      <c r="N18" s="197">
        <f>E18-жовтень!E18</f>
        <v>0</v>
      </c>
      <c r="O18" s="200">
        <f>F18-жовтень!F18</f>
        <v>18.900000000000006</v>
      </c>
      <c r="P18" s="201">
        <f t="shared" si="6"/>
        <v>18.900000000000006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101400.4</v>
      </c>
      <c r="F19" s="196">
        <v>92791.79</v>
      </c>
      <c r="G19" s="190">
        <f t="shared" si="0"/>
        <v>-8608.61</v>
      </c>
      <c r="H19" s="197">
        <f t="shared" si="3"/>
        <v>91.51028003834304</v>
      </c>
      <c r="I19" s="198">
        <f t="shared" si="4"/>
        <v>-17108.210000000006</v>
      </c>
      <c r="J19" s="198">
        <f t="shared" si="5"/>
        <v>84.43292993630573</v>
      </c>
      <c r="K19" s="209">
        <v>65538.97</v>
      </c>
      <c r="L19" s="201">
        <f t="shared" si="1"/>
        <v>27252.819999999992</v>
      </c>
      <c r="M19" s="259">
        <f t="shared" si="2"/>
        <v>1.4158261870761777</v>
      </c>
      <c r="N19" s="197">
        <f>E19-жовтень!E19</f>
        <v>10440</v>
      </c>
      <c r="O19" s="200">
        <f>F19-жовтень!F19</f>
        <v>9161.36</v>
      </c>
      <c r="P19" s="201">
        <f t="shared" si="6"/>
        <v>-1278.6399999999994</v>
      </c>
      <c r="Q19" s="198">
        <f aca="true" t="shared" si="9" ref="Q19:Q24">O19/N19*100</f>
        <v>87.75249042145595</v>
      </c>
      <c r="R19" s="113"/>
      <c r="S19" s="114"/>
      <c r="T19" s="186">
        <f t="shared" si="8"/>
        <v>8499.600000000006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300699.98</v>
      </c>
      <c r="F20" s="272">
        <f>F21+F29+F30+F31+F32</f>
        <v>317230.94999999995</v>
      </c>
      <c r="G20" s="190">
        <f t="shared" si="0"/>
        <v>16530.969999999972</v>
      </c>
      <c r="H20" s="197">
        <f t="shared" si="3"/>
        <v>105.49749620867948</v>
      </c>
      <c r="I20" s="198">
        <f t="shared" si="4"/>
        <v>1254.2999999999302</v>
      </c>
      <c r="J20" s="198">
        <f t="shared" si="5"/>
        <v>100.39695971205464</v>
      </c>
      <c r="K20" s="198">
        <v>207711.81</v>
      </c>
      <c r="L20" s="201">
        <f t="shared" si="1"/>
        <v>109519.13999999996</v>
      </c>
      <c r="M20" s="254">
        <f t="shared" si="2"/>
        <v>1.5272648676067093</v>
      </c>
      <c r="N20" s="197">
        <f>N21+N30+N31+N32</f>
        <v>25593.920000000013</v>
      </c>
      <c r="O20" s="200">
        <f>F20-жовтень!F20</f>
        <v>35018.19999999995</v>
      </c>
      <c r="P20" s="201">
        <f t="shared" si="6"/>
        <v>9424.27999999994</v>
      </c>
      <c r="Q20" s="198">
        <f t="shared" si="9"/>
        <v>136.82233905552545</v>
      </c>
      <c r="R20" s="113"/>
      <c r="S20" s="114"/>
      <c r="T20" s="186">
        <f t="shared" si="8"/>
        <v>15276.670000000042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162963.42</v>
      </c>
      <c r="F21" s="211">
        <f>F22+F25+F26</f>
        <v>167260.1</v>
      </c>
      <c r="G21" s="190">
        <f t="shared" si="0"/>
        <v>4296.679999999993</v>
      </c>
      <c r="H21" s="197">
        <f t="shared" si="3"/>
        <v>102.63659169646783</v>
      </c>
      <c r="I21" s="198">
        <f t="shared" si="4"/>
        <v>-7639.549999999988</v>
      </c>
      <c r="J21" s="198">
        <f t="shared" si="5"/>
        <v>95.63203814301517</v>
      </c>
      <c r="K21" s="198">
        <v>109750.31</v>
      </c>
      <c r="L21" s="201">
        <f t="shared" si="1"/>
        <v>57509.79000000001</v>
      </c>
      <c r="M21" s="254">
        <f t="shared" si="2"/>
        <v>1.5240057180704092</v>
      </c>
      <c r="N21" s="197">
        <f>N22+N25+N26</f>
        <v>13520.01000000001</v>
      </c>
      <c r="O21" s="200">
        <f>F21-жовтень!F21</f>
        <v>13603.779999999999</v>
      </c>
      <c r="P21" s="201">
        <f t="shared" si="6"/>
        <v>83.76999999998952</v>
      </c>
      <c r="Q21" s="198">
        <f t="shared" si="9"/>
        <v>100.61960013343179</v>
      </c>
      <c r="R21" s="113"/>
      <c r="S21" s="114"/>
      <c r="T21" s="186">
        <f t="shared" si="8"/>
        <v>11936.229999999981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17724.4</v>
      </c>
      <c r="F22" s="213">
        <v>20736.16</v>
      </c>
      <c r="G22" s="212">
        <f t="shared" si="0"/>
        <v>3011.7599999999984</v>
      </c>
      <c r="H22" s="214">
        <f t="shared" si="3"/>
        <v>116.9921689873846</v>
      </c>
      <c r="I22" s="215">
        <f t="shared" si="4"/>
        <v>2236.16</v>
      </c>
      <c r="J22" s="215">
        <f t="shared" si="5"/>
        <v>112.08735135135134</v>
      </c>
      <c r="K22" s="216">
        <v>12713.66</v>
      </c>
      <c r="L22" s="206">
        <f t="shared" si="1"/>
        <v>8022.5</v>
      </c>
      <c r="M22" s="262">
        <f t="shared" si="2"/>
        <v>1.6310142004741357</v>
      </c>
      <c r="N22" s="214">
        <f>E22-жовтень!E22</f>
        <v>400</v>
      </c>
      <c r="O22" s="217">
        <f>F22-жовтень!F22</f>
        <v>514.7700000000004</v>
      </c>
      <c r="P22" s="218">
        <f t="shared" si="6"/>
        <v>114.77000000000044</v>
      </c>
      <c r="Q22" s="215">
        <f t="shared" si="9"/>
        <v>128.6925000000001</v>
      </c>
      <c r="R22" s="113"/>
      <c r="S22" s="114"/>
      <c r="T22" s="186">
        <f t="shared" si="8"/>
        <v>775.5999999999985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1424.4</v>
      </c>
      <c r="F23" s="203">
        <v>816.85</v>
      </c>
      <c r="G23" s="241">
        <f t="shared" si="0"/>
        <v>-607.5500000000001</v>
      </c>
      <c r="H23" s="242">
        <f t="shared" si="3"/>
        <v>57.34695310306094</v>
      </c>
      <c r="I23" s="243">
        <f t="shared" si="4"/>
        <v>-1183.15</v>
      </c>
      <c r="J23" s="243">
        <f t="shared" si="5"/>
        <v>40.8425</v>
      </c>
      <c r="K23" s="243">
        <v>683.67</v>
      </c>
      <c r="L23" s="243">
        <f t="shared" si="1"/>
        <v>133.18000000000006</v>
      </c>
      <c r="M23" s="413">
        <f t="shared" si="2"/>
        <v>1.194801585560285</v>
      </c>
      <c r="N23" s="242">
        <f>E23-жовтень!E23</f>
        <v>200</v>
      </c>
      <c r="O23" s="242">
        <f>F23-жовтень!F23</f>
        <v>21.31000000000006</v>
      </c>
      <c r="P23" s="243">
        <f t="shared" si="6"/>
        <v>-178.68999999999994</v>
      </c>
      <c r="Q23" s="243">
        <f t="shared" si="9"/>
        <v>10.65500000000003</v>
      </c>
      <c r="R23" s="113"/>
      <c r="S23" s="114"/>
      <c r="T23" s="186">
        <f t="shared" si="8"/>
        <v>575.5999999999999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16300</v>
      </c>
      <c r="F24" s="203">
        <v>19919.31</v>
      </c>
      <c r="G24" s="241">
        <f t="shared" si="0"/>
        <v>3619.3100000000013</v>
      </c>
      <c r="H24" s="242">
        <f t="shared" si="3"/>
        <v>122.20435582822087</v>
      </c>
      <c r="I24" s="243">
        <f t="shared" si="4"/>
        <v>3419.3100000000013</v>
      </c>
      <c r="J24" s="243">
        <f t="shared" si="5"/>
        <v>120.72309090909093</v>
      </c>
      <c r="K24" s="243">
        <v>12029.99</v>
      </c>
      <c r="L24" s="243">
        <f t="shared" si="1"/>
        <v>7889.3200000000015</v>
      </c>
      <c r="M24" s="413">
        <f t="shared" si="2"/>
        <v>1.6558043689146875</v>
      </c>
      <c r="N24" s="242">
        <f>E24-жовтень!E24</f>
        <v>200</v>
      </c>
      <c r="O24" s="242">
        <f>F24-жовтень!F24</f>
        <v>493.46000000000276</v>
      </c>
      <c r="P24" s="243">
        <f t="shared" si="6"/>
        <v>293.46000000000276</v>
      </c>
      <c r="Q24" s="243">
        <f t="shared" si="9"/>
        <v>246.7300000000014</v>
      </c>
      <c r="R24" s="113"/>
      <c r="S24" s="114"/>
      <c r="T24" s="186">
        <f t="shared" si="8"/>
        <v>200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787.37</v>
      </c>
      <c r="G25" s="212">
        <f t="shared" si="0"/>
        <v>-192.66999999999996</v>
      </c>
      <c r="H25" s="214">
        <f t="shared" si="3"/>
        <v>80.34059834292478</v>
      </c>
      <c r="I25" s="215">
        <f t="shared" si="4"/>
        <v>-212.63</v>
      </c>
      <c r="J25" s="215">
        <f t="shared" si="5"/>
        <v>78.737</v>
      </c>
      <c r="K25" s="215">
        <v>3649.2</v>
      </c>
      <c r="L25" s="215">
        <f t="shared" si="1"/>
        <v>-2861.83</v>
      </c>
      <c r="M25" s="257">
        <f t="shared" si="2"/>
        <v>0.21576509919982464</v>
      </c>
      <c r="N25" s="214">
        <f>E25-жовтень!E25</f>
        <v>0</v>
      </c>
      <c r="O25" s="217">
        <f>F25-жовтень!F25</f>
        <v>-22.91999999999996</v>
      </c>
      <c r="P25" s="218">
        <f t="shared" si="6"/>
        <v>-22.91999999999996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144258.98</v>
      </c>
      <c r="F26" s="213">
        <v>145736.57</v>
      </c>
      <c r="G26" s="212">
        <f t="shared" si="0"/>
        <v>1477.5899999999965</v>
      </c>
      <c r="H26" s="214">
        <f t="shared" si="3"/>
        <v>101.02426205980383</v>
      </c>
      <c r="I26" s="215">
        <f t="shared" si="4"/>
        <v>-9663.079999999987</v>
      </c>
      <c r="J26" s="215">
        <f t="shared" si="5"/>
        <v>93.78178779681937</v>
      </c>
      <c r="K26" s="216">
        <v>93387.45</v>
      </c>
      <c r="L26" s="216">
        <f t="shared" si="1"/>
        <v>52349.12000000001</v>
      </c>
      <c r="M26" s="256">
        <f t="shared" si="2"/>
        <v>1.5605584047963619</v>
      </c>
      <c r="N26" s="214">
        <f>E26-жовтень!E26</f>
        <v>13120.01000000001</v>
      </c>
      <c r="O26" s="217">
        <f>F26-жовтень!F26</f>
        <v>13111.929999999993</v>
      </c>
      <c r="P26" s="218">
        <f t="shared" si="6"/>
        <v>-8.080000000016298</v>
      </c>
      <c r="Q26" s="215">
        <f>O26/N26*100</f>
        <v>99.93841468108626</v>
      </c>
      <c r="R26" s="113"/>
      <c r="S26" s="114"/>
      <c r="T26" s="186">
        <f t="shared" si="8"/>
        <v>11140.669999999984</v>
      </c>
    </row>
    <row r="27" spans="1:20" s="6" customFormat="1" ht="18">
      <c r="A27" s="8"/>
      <c r="B27" s="237" t="s">
        <v>166</v>
      </c>
      <c r="C27" s="238"/>
      <c r="D27" s="241">
        <v>47367</v>
      </c>
      <c r="E27" s="241">
        <v>44411.8</v>
      </c>
      <c r="F27" s="203">
        <v>46002.62</v>
      </c>
      <c r="G27" s="241">
        <f t="shared" si="0"/>
        <v>1590.8199999999997</v>
      </c>
      <c r="H27" s="242">
        <f t="shared" si="3"/>
        <v>103.5819759613436</v>
      </c>
      <c r="I27" s="243">
        <f t="shared" si="4"/>
        <v>-1364.3799999999974</v>
      </c>
      <c r="J27" s="243">
        <f t="shared" si="5"/>
        <v>97.1195558088965</v>
      </c>
      <c r="K27" s="243">
        <v>25267.13</v>
      </c>
      <c r="L27" s="243">
        <f t="shared" si="1"/>
        <v>20735.49</v>
      </c>
      <c r="M27" s="413">
        <f t="shared" si="2"/>
        <v>1.8206507822613807</v>
      </c>
      <c r="N27" s="242">
        <f>E27-жовтень!E27</f>
        <v>4010</v>
      </c>
      <c r="O27" s="242">
        <f>F27-жовтень!F27</f>
        <v>3996.340000000004</v>
      </c>
      <c r="P27" s="243">
        <f t="shared" si="6"/>
        <v>-13.659999999996217</v>
      </c>
      <c r="Q27" s="243">
        <f>O27/N27*100</f>
        <v>99.65935162094772</v>
      </c>
      <c r="R27" s="113"/>
      <c r="S27" s="114"/>
      <c r="T27" s="186">
        <f t="shared" si="8"/>
        <v>2955.199999999997</v>
      </c>
    </row>
    <row r="28" spans="1:20" s="6" customFormat="1" ht="18">
      <c r="A28" s="8"/>
      <c r="B28" s="237" t="s">
        <v>167</v>
      </c>
      <c r="C28" s="238"/>
      <c r="D28" s="241">
        <v>108032.65</v>
      </c>
      <c r="E28" s="241">
        <v>99847.17</v>
      </c>
      <c r="F28" s="203">
        <v>99733.95</v>
      </c>
      <c r="G28" s="241">
        <f t="shared" si="0"/>
        <v>-113.22000000000116</v>
      </c>
      <c r="H28" s="242">
        <f t="shared" si="3"/>
        <v>99.88660670102118</v>
      </c>
      <c r="I28" s="243">
        <f t="shared" si="4"/>
        <v>-8298.699999999997</v>
      </c>
      <c r="J28" s="243">
        <f t="shared" si="5"/>
        <v>92.31834079789768</v>
      </c>
      <c r="K28" s="243">
        <v>68120.32</v>
      </c>
      <c r="L28" s="243">
        <f t="shared" si="1"/>
        <v>31613.62999999999</v>
      </c>
      <c r="M28" s="413">
        <f t="shared" si="2"/>
        <v>1.4640851657772598</v>
      </c>
      <c r="N28" s="242">
        <f>E28-жовтень!E28</f>
        <v>9110</v>
      </c>
      <c r="O28" s="242">
        <f>F28-жовтень!F28</f>
        <v>9115.589999999997</v>
      </c>
      <c r="P28" s="243">
        <f t="shared" si="6"/>
        <v>5.5899999999965075</v>
      </c>
      <c r="Q28" s="243">
        <f>O28/N28*100</f>
        <v>100.0613611416026</v>
      </c>
      <c r="R28" s="113"/>
      <c r="S28" s="114"/>
      <c r="T28" s="186">
        <f t="shared" si="8"/>
        <v>8185.479999999996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E29-жовтень!E29</f>
        <v>0</v>
      </c>
      <c r="O29" s="200">
        <f>F29-жовтень!F29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70.81</v>
      </c>
      <c r="F30" s="196">
        <v>114.68</v>
      </c>
      <c r="G30" s="190">
        <f t="shared" si="0"/>
        <v>43.870000000000005</v>
      </c>
      <c r="H30" s="197">
        <f t="shared" si="3"/>
        <v>161.95452619686486</v>
      </c>
      <c r="I30" s="198">
        <f t="shared" si="4"/>
        <v>37.68000000000001</v>
      </c>
      <c r="J30" s="198">
        <f t="shared" si="5"/>
        <v>148.93506493506493</v>
      </c>
      <c r="K30" s="198">
        <v>74.09</v>
      </c>
      <c r="L30" s="198">
        <f t="shared" si="1"/>
        <v>40.59</v>
      </c>
      <c r="M30" s="255">
        <f>F30/K30</f>
        <v>1.5478472128492375</v>
      </c>
      <c r="N30" s="197">
        <f>E30-жовтень!E30</f>
        <v>8</v>
      </c>
      <c r="O30" s="200">
        <f>F30-жовтень!F30</f>
        <v>18.5</v>
      </c>
      <c r="P30" s="201">
        <f t="shared" si="6"/>
        <v>10.5</v>
      </c>
      <c r="Q30" s="198">
        <f>O30/N30*100</f>
        <v>231.25</v>
      </c>
      <c r="R30" s="113"/>
      <c r="S30" s="114"/>
      <c r="T30" s="186">
        <f t="shared" si="8"/>
        <v>6.189999999999998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-173.97</v>
      </c>
      <c r="G31" s="190">
        <f t="shared" si="0"/>
        <v>-173.97</v>
      </c>
      <c r="H31" s="197"/>
      <c r="I31" s="198">
        <f t="shared" si="4"/>
        <v>-173.97</v>
      </c>
      <c r="J31" s="198"/>
      <c r="K31" s="198">
        <v>-772.87</v>
      </c>
      <c r="L31" s="198">
        <f t="shared" si="1"/>
        <v>598.9</v>
      </c>
      <c r="M31" s="255">
        <f>F31/K31</f>
        <v>0.2250960704905094</v>
      </c>
      <c r="N31" s="197">
        <f>E31-жовтень!E31</f>
        <v>0</v>
      </c>
      <c r="O31" s="200">
        <f>F31-жовтень!F31</f>
        <v>-0.9000000000000057</v>
      </c>
      <c r="P31" s="201">
        <f t="shared" si="6"/>
        <v>-0.9000000000000057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137665.75</v>
      </c>
      <c r="F32" s="203">
        <v>150029.99</v>
      </c>
      <c r="G32" s="202">
        <f t="shared" si="0"/>
        <v>12364.23999999999</v>
      </c>
      <c r="H32" s="204">
        <f t="shared" si="3"/>
        <v>108.98134793875744</v>
      </c>
      <c r="I32" s="205">
        <f t="shared" si="4"/>
        <v>9029.98999999999</v>
      </c>
      <c r="J32" s="205">
        <f t="shared" si="5"/>
        <v>106.40424822695034</v>
      </c>
      <c r="K32" s="219">
        <v>98660.28</v>
      </c>
      <c r="L32" s="219">
        <f>F32-K32</f>
        <v>51369.70999999999</v>
      </c>
      <c r="M32" s="411">
        <f>F32/K32</f>
        <v>1.520672655702984</v>
      </c>
      <c r="N32" s="197">
        <f>E32-жовтень!E32</f>
        <v>12065.910000000003</v>
      </c>
      <c r="O32" s="200">
        <f>F32-жовтень!F32</f>
        <v>21396.819999999992</v>
      </c>
      <c r="P32" s="207">
        <f t="shared" si="6"/>
        <v>9330.909999999989</v>
      </c>
      <c r="Q32" s="205">
        <f>O32/N32*100</f>
        <v>177.33283274945683</v>
      </c>
      <c r="R32" s="113"/>
      <c r="S32" s="114"/>
      <c r="T32" s="186">
        <f t="shared" si="8"/>
        <v>3334.25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-1.15</v>
      </c>
      <c r="L33" s="142">
        <f t="shared" si="1"/>
        <v>1.38</v>
      </c>
      <c r="M33" s="264">
        <f aca="true" t="shared" si="10" ref="M33:M39">F33/K33</f>
        <v>-0.2</v>
      </c>
      <c r="N33" s="111">
        <f>E33-жовтень!E33</f>
        <v>0</v>
      </c>
      <c r="O33" s="179">
        <f>F33-жовтень!F33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33262.97</v>
      </c>
      <c r="F34" s="171">
        <v>37146.19</v>
      </c>
      <c r="G34" s="109">
        <f t="shared" si="0"/>
        <v>3883.220000000001</v>
      </c>
      <c r="H34" s="111">
        <f t="shared" si="3"/>
        <v>111.67430328680811</v>
      </c>
      <c r="I34" s="110">
        <f t="shared" si="4"/>
        <v>2929.1900000000023</v>
      </c>
      <c r="J34" s="110">
        <f t="shared" si="5"/>
        <v>108.56062775813193</v>
      </c>
      <c r="K34" s="142">
        <v>23706.55</v>
      </c>
      <c r="L34" s="142">
        <f t="shared" si="1"/>
        <v>13439.640000000003</v>
      </c>
      <c r="M34" s="264">
        <f t="shared" si="10"/>
        <v>1.5669167382010458</v>
      </c>
      <c r="N34" s="111">
        <f>E34-жовтень!E34</f>
        <v>2600</v>
      </c>
      <c r="O34" s="179">
        <f>F34-жовтень!F34</f>
        <v>5570.1500000000015</v>
      </c>
      <c r="P34" s="112">
        <f t="shared" si="6"/>
        <v>2970.1500000000015</v>
      </c>
      <c r="Q34" s="110">
        <f>O34/N34*100</f>
        <v>214.23653846153852</v>
      </c>
      <c r="R34" s="113"/>
      <c r="S34" s="114"/>
      <c r="T34" s="186">
        <f t="shared" si="8"/>
        <v>954.0299999999988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104351.78</v>
      </c>
      <c r="F35" s="171">
        <v>112830.49</v>
      </c>
      <c r="G35" s="109">
        <f t="shared" si="0"/>
        <v>8478.710000000006</v>
      </c>
      <c r="H35" s="111">
        <f t="shared" si="3"/>
        <v>108.12512254223168</v>
      </c>
      <c r="I35" s="110">
        <f t="shared" si="4"/>
        <v>6098.490000000005</v>
      </c>
      <c r="J35" s="110">
        <f t="shared" si="5"/>
        <v>105.7138346512761</v>
      </c>
      <c r="K35" s="142">
        <v>74922.37</v>
      </c>
      <c r="L35" s="142">
        <f t="shared" si="1"/>
        <v>37908.12000000001</v>
      </c>
      <c r="M35" s="264">
        <f t="shared" si="10"/>
        <v>1.5059653078246191</v>
      </c>
      <c r="N35" s="111">
        <f>E35-жовтень!E35</f>
        <v>9431.699999999997</v>
      </c>
      <c r="O35" s="179">
        <f>F35-жовтень!F35</f>
        <v>15826.669999999998</v>
      </c>
      <c r="P35" s="112">
        <f t="shared" si="6"/>
        <v>6394.970000000001</v>
      </c>
      <c r="Q35" s="110">
        <f>O35/N35*100</f>
        <v>167.80294114528667</v>
      </c>
      <c r="R35" s="113"/>
      <c r="S35" s="114"/>
      <c r="T35" s="186">
        <f t="shared" si="8"/>
        <v>2380.220000000001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51</v>
      </c>
      <c r="F36" s="171">
        <v>53.08</v>
      </c>
      <c r="G36" s="109">
        <f t="shared" si="0"/>
        <v>2.0799999999999983</v>
      </c>
      <c r="H36" s="111">
        <f t="shared" si="3"/>
        <v>104.07843137254902</v>
      </c>
      <c r="I36" s="110">
        <f t="shared" si="4"/>
        <v>2.0799999999999983</v>
      </c>
      <c r="J36" s="110">
        <f t="shared" si="5"/>
        <v>104.07843137254902</v>
      </c>
      <c r="K36" s="142">
        <v>32.51</v>
      </c>
      <c r="L36" s="142">
        <f t="shared" si="1"/>
        <v>20.57</v>
      </c>
      <c r="M36" s="264">
        <f t="shared" si="10"/>
        <v>1.6327283912642265</v>
      </c>
      <c r="N36" s="111">
        <f>E36-жовтень!E36</f>
        <v>34.21</v>
      </c>
      <c r="O36" s="179">
        <f>F36-жовтень!F36</f>
        <v>0</v>
      </c>
      <c r="P36" s="112">
        <f t="shared" si="6"/>
        <v>-34.21</v>
      </c>
      <c r="Q36" s="110"/>
      <c r="R36" s="113"/>
      <c r="S36" s="114"/>
      <c r="T36" s="186">
        <f t="shared" si="8"/>
        <v>0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6764.35</v>
      </c>
      <c r="L37" s="132">
        <f t="shared" si="1"/>
        <v>-6764.35</v>
      </c>
      <c r="M37" s="265">
        <f t="shared" si="10"/>
        <v>0</v>
      </c>
      <c r="N37" s="152">
        <f>E37-жовтень!E37</f>
        <v>0</v>
      </c>
      <c r="O37" s="180">
        <f>F37-жовтень!F37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59184.03</v>
      </c>
      <c r="F38" s="191">
        <f>F39+F40+F41+F42+F43+F45+F47+F48+F49+F50+F51+F56+F57+F61+F44</f>
        <v>61087.94</v>
      </c>
      <c r="G38" s="191">
        <f>G39+G40+G41+G42+G43+G45+G47+G48+G49+G50+G51+G56+G57+G61</f>
        <v>1832.5400000000006</v>
      </c>
      <c r="H38" s="192">
        <f>F38/E38*100</f>
        <v>103.21693200006827</v>
      </c>
      <c r="I38" s="193">
        <f>F38-D38</f>
        <v>-754.5400000000009</v>
      </c>
      <c r="J38" s="193">
        <f>F38/D38*100</f>
        <v>98.77990015924328</v>
      </c>
      <c r="K38" s="191">
        <v>41741.88</v>
      </c>
      <c r="L38" s="191">
        <f t="shared" si="1"/>
        <v>19346.060000000005</v>
      </c>
      <c r="M38" s="250">
        <f t="shared" si="10"/>
        <v>1.4634688231579414</v>
      </c>
      <c r="N38" s="191">
        <f>N39+N40+N41+N42+N43+N45+N47+N48+N49+N50+N51+N56+N57+N61+N44</f>
        <v>3889</v>
      </c>
      <c r="O38" s="191">
        <f>O39+O40+O41+O42+O43+O45+O47+O48+O49+O50+O51+O56+O57+O61+O44</f>
        <v>6070.210000000002</v>
      </c>
      <c r="P38" s="191">
        <f>P39+P40+P41+P42+P43+P45+P47+P48+P49+P50+P51+P56+P57+P61</f>
        <v>2143.790000000002</v>
      </c>
      <c r="Q38" s="191">
        <f>O38/N38*100</f>
        <v>156.08665466700958</v>
      </c>
      <c r="R38" s="15" t="e">
        <f>#N/A</f>
        <v>#N/A</v>
      </c>
      <c r="S38" s="15" t="e">
        <f>#N/A</f>
        <v>#N/A</v>
      </c>
      <c r="T38" s="186">
        <f t="shared" si="8"/>
        <v>2658.4500000000044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398</v>
      </c>
      <c r="F39" s="196">
        <v>551.21</v>
      </c>
      <c r="G39" s="202">
        <f>F39-E39</f>
        <v>153.21000000000004</v>
      </c>
      <c r="H39" s="204">
        <f aca="true" t="shared" si="11" ref="H39:H62">F39/E39*100</f>
        <v>138.49497487437188</v>
      </c>
      <c r="I39" s="205">
        <f>F39-D39</f>
        <v>151.21000000000004</v>
      </c>
      <c r="J39" s="205">
        <f>F39/D39*100</f>
        <v>137.8025</v>
      </c>
      <c r="K39" s="205">
        <v>0.21</v>
      </c>
      <c r="L39" s="205">
        <f t="shared" si="1"/>
        <v>551</v>
      </c>
      <c r="M39" s="266">
        <f t="shared" si="10"/>
        <v>2624.809523809524</v>
      </c>
      <c r="N39" s="204">
        <f>E39-жовтень!E39</f>
        <v>12</v>
      </c>
      <c r="O39" s="208">
        <f>F39-жовтень!F39</f>
        <v>66.38000000000005</v>
      </c>
      <c r="P39" s="207">
        <f>O39-N39</f>
        <v>54.38000000000005</v>
      </c>
      <c r="Q39" s="205">
        <f aca="true" t="shared" si="12" ref="Q39:Q62">O39/N39*100</f>
        <v>553.1666666666671</v>
      </c>
      <c r="R39" s="42"/>
      <c r="S39" s="100"/>
      <c r="T39" s="186">
        <f t="shared" si="8"/>
        <v>2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29466</v>
      </c>
      <c r="F40" s="196">
        <v>31079.13</v>
      </c>
      <c r="G40" s="202">
        <f aca="true" t="shared" si="13" ref="G40:G63">F40-E40</f>
        <v>1613.130000000001</v>
      </c>
      <c r="H40" s="204">
        <f t="shared" si="11"/>
        <v>105.47454693545104</v>
      </c>
      <c r="I40" s="205">
        <f aca="true" t="shared" si="14" ref="I40:I63">F40-D40</f>
        <v>1072.130000000001</v>
      </c>
      <c r="J40" s="205">
        <f>F40/D40*100</f>
        <v>103.57293298230412</v>
      </c>
      <c r="K40" s="205">
        <v>12874.31</v>
      </c>
      <c r="L40" s="205">
        <f t="shared" si="1"/>
        <v>18204.82</v>
      </c>
      <c r="M40" s="266"/>
      <c r="N40" s="204">
        <f>E40-жовтень!E40</f>
        <v>1700</v>
      </c>
      <c r="O40" s="208">
        <f>F40-жовтень!F40</f>
        <v>3409.010000000002</v>
      </c>
      <c r="P40" s="207">
        <f aca="true" t="shared" si="15" ref="P40:P63">O40-N40</f>
        <v>1709.010000000002</v>
      </c>
      <c r="Q40" s="205">
        <f t="shared" si="12"/>
        <v>200.53000000000014</v>
      </c>
      <c r="R40" s="42"/>
      <c r="S40" s="100"/>
      <c r="T40" s="186">
        <f t="shared" si="8"/>
        <v>541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379.93</v>
      </c>
      <c r="L41" s="205">
        <f t="shared" si="1"/>
        <v>-347.95</v>
      </c>
      <c r="M41" s="266">
        <f aca="true" t="shared" si="17" ref="M41:M63">F41/K41</f>
        <v>0.0841734003632248</v>
      </c>
      <c r="N41" s="204">
        <f>E41-жовтень!E41</f>
        <v>0</v>
      </c>
      <c r="O41" s="208">
        <f>F41-жовтень!F41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1.02</v>
      </c>
      <c r="L42" s="205">
        <f t="shared" si="1"/>
        <v>-0.92</v>
      </c>
      <c r="M42" s="266">
        <f t="shared" si="17"/>
        <v>0.09803921568627451</v>
      </c>
      <c r="N42" s="204">
        <f>E42-жовтень!E42</f>
        <v>0</v>
      </c>
      <c r="O42" s="208">
        <f>F42-жовтень!F42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110</v>
      </c>
      <c r="F43" s="196">
        <v>225.51</v>
      </c>
      <c r="G43" s="202">
        <f t="shared" si="13"/>
        <v>115.50999999999999</v>
      </c>
      <c r="H43" s="204">
        <f t="shared" si="11"/>
        <v>205.00909090909093</v>
      </c>
      <c r="I43" s="205">
        <f t="shared" si="14"/>
        <v>75.50999999999999</v>
      </c>
      <c r="J43" s="205">
        <f t="shared" si="16"/>
        <v>150.33999999999997</v>
      </c>
      <c r="K43" s="205">
        <v>267.84</v>
      </c>
      <c r="L43" s="205">
        <f t="shared" si="1"/>
        <v>-42.329999999999984</v>
      </c>
      <c r="M43" s="266">
        <f t="shared" si="17"/>
        <v>0.8419578853046595</v>
      </c>
      <c r="N43" s="204">
        <f>E43-жовтень!E43</f>
        <v>10</v>
      </c>
      <c r="O43" s="208">
        <f>F43-жовтень!F43</f>
        <v>17.829999999999984</v>
      </c>
      <c r="P43" s="207">
        <f t="shared" si="15"/>
        <v>7.829999999999984</v>
      </c>
      <c r="Q43" s="205">
        <f t="shared" si="12"/>
        <v>178.29999999999984</v>
      </c>
      <c r="R43" s="42"/>
      <c r="S43" s="100"/>
      <c r="T43" s="186">
        <f t="shared" si="8"/>
        <v>40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85.37</v>
      </c>
      <c r="G44" s="202">
        <f t="shared" si="13"/>
        <v>71.37</v>
      </c>
      <c r="H44" s="204"/>
      <c r="I44" s="205">
        <f t="shared" si="14"/>
        <v>71.37</v>
      </c>
      <c r="J44" s="205"/>
      <c r="K44" s="205">
        <v>0</v>
      </c>
      <c r="L44" s="205">
        <f t="shared" si="1"/>
        <v>85.37</v>
      </c>
      <c r="M44" s="266"/>
      <c r="N44" s="204">
        <f>E44-жовтень!E44</f>
        <v>0</v>
      </c>
      <c r="O44" s="208">
        <f>F44-жовтень!F44</f>
        <v>37.42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290</v>
      </c>
      <c r="F45" s="196">
        <v>629.78</v>
      </c>
      <c r="G45" s="202">
        <f t="shared" si="13"/>
        <v>339.78</v>
      </c>
      <c r="H45" s="204">
        <f t="shared" si="11"/>
        <v>217.1655172413793</v>
      </c>
      <c r="I45" s="205">
        <f t="shared" si="14"/>
        <v>329.78</v>
      </c>
      <c r="J45" s="205">
        <f t="shared" si="16"/>
        <v>209.92666666666665</v>
      </c>
      <c r="K45" s="205">
        <v>0</v>
      </c>
      <c r="L45" s="205">
        <f t="shared" si="1"/>
        <v>629.78</v>
      </c>
      <c r="M45" s="266"/>
      <c r="N45" s="204">
        <f>E45-жовтень!E45</f>
        <v>18</v>
      </c>
      <c r="O45" s="208">
        <f>F45-жовтень!F45</f>
        <v>98.75999999999999</v>
      </c>
      <c r="P45" s="207">
        <f t="shared" si="15"/>
        <v>80.75999999999999</v>
      </c>
      <c r="Q45" s="205">
        <f t="shared" si="12"/>
        <v>548.6666666666666</v>
      </c>
      <c r="R45" s="42"/>
      <c r="S45" s="100"/>
      <c r="T45" s="186">
        <f t="shared" si="8"/>
        <v>10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E46-жовтень!E46</f>
        <v>0</v>
      </c>
      <c r="O46" s="208">
        <f>F46-жовтень!F46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9549.02</v>
      </c>
      <c r="F47" s="196">
        <v>10239.21</v>
      </c>
      <c r="G47" s="202">
        <f t="shared" si="13"/>
        <v>690.1899999999987</v>
      </c>
      <c r="H47" s="204">
        <f t="shared" si="11"/>
        <v>107.22786212616582</v>
      </c>
      <c r="I47" s="205">
        <f t="shared" si="14"/>
        <v>339.2099999999991</v>
      </c>
      <c r="J47" s="205">
        <f t="shared" si="16"/>
        <v>103.42636363636363</v>
      </c>
      <c r="K47" s="205">
        <v>8884.54</v>
      </c>
      <c r="L47" s="205">
        <f t="shared" si="1"/>
        <v>1354.6699999999983</v>
      </c>
      <c r="M47" s="266">
        <f t="shared" si="17"/>
        <v>1.1524749733807262</v>
      </c>
      <c r="N47" s="204">
        <f>E47-жовтень!E47</f>
        <v>800</v>
      </c>
      <c r="O47" s="208">
        <f>F47-жовтень!F47</f>
        <v>1362.9699999999993</v>
      </c>
      <c r="P47" s="207">
        <f t="shared" si="15"/>
        <v>562.9699999999993</v>
      </c>
      <c r="Q47" s="205">
        <f t="shared" si="12"/>
        <v>170.37124999999992</v>
      </c>
      <c r="R47" s="42"/>
      <c r="S47" s="100"/>
      <c r="T47" s="186">
        <f t="shared" si="8"/>
        <v>350.97999999999956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282.65</v>
      </c>
      <c r="G48" s="202">
        <f t="shared" si="13"/>
        <v>-367.35</v>
      </c>
      <c r="H48" s="204">
        <f t="shared" si="11"/>
        <v>43.48461538461538</v>
      </c>
      <c r="I48" s="205">
        <f t="shared" si="14"/>
        <v>-367.35</v>
      </c>
      <c r="J48" s="205">
        <f t="shared" si="16"/>
        <v>43.48461538461538</v>
      </c>
      <c r="K48" s="205">
        <v>0</v>
      </c>
      <c r="L48" s="205">
        <f t="shared" si="1"/>
        <v>282.65</v>
      </c>
      <c r="M48" s="266"/>
      <c r="N48" s="204">
        <f>E48-жовтень!E48</f>
        <v>0</v>
      </c>
      <c r="O48" s="208">
        <f>F48-жовтень!F48</f>
        <v>36.119999999999976</v>
      </c>
      <c r="P48" s="207">
        <f t="shared" si="15"/>
        <v>36.119999999999976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40</v>
      </c>
      <c r="F49" s="196">
        <v>19.16</v>
      </c>
      <c r="G49" s="202">
        <f t="shared" si="13"/>
        <v>-20.84</v>
      </c>
      <c r="H49" s="204">
        <f t="shared" si="11"/>
        <v>47.9</v>
      </c>
      <c r="I49" s="205">
        <f t="shared" si="14"/>
        <v>-30.84</v>
      </c>
      <c r="J49" s="205">
        <f t="shared" si="16"/>
        <v>38.32</v>
      </c>
      <c r="K49" s="205">
        <v>0</v>
      </c>
      <c r="L49" s="205">
        <f t="shared" si="1"/>
        <v>19.16</v>
      </c>
      <c r="M49" s="266"/>
      <c r="N49" s="204">
        <f>E49-жовтень!E49</f>
        <v>4</v>
      </c>
      <c r="O49" s="208">
        <f>F49-жовтень!F49</f>
        <v>2.1999999999999993</v>
      </c>
      <c r="P49" s="207">
        <f t="shared" si="15"/>
        <v>-1.8000000000000007</v>
      </c>
      <c r="Q49" s="205">
        <f t="shared" si="12"/>
        <v>54.999999999999986</v>
      </c>
      <c r="R49" s="42"/>
      <c r="S49" s="100"/>
      <c r="T49" s="186">
        <f t="shared" si="8"/>
        <v>10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7216.23</v>
      </c>
      <c r="F50" s="196">
        <v>6734.69</v>
      </c>
      <c r="G50" s="202">
        <f t="shared" si="13"/>
        <v>-481.53999999999996</v>
      </c>
      <c r="H50" s="204">
        <f t="shared" si="11"/>
        <v>93.32698652897705</v>
      </c>
      <c r="I50" s="205">
        <f t="shared" si="14"/>
        <v>-1265.3100000000004</v>
      </c>
      <c r="J50" s="205">
        <f t="shared" si="16"/>
        <v>84.18362499999999</v>
      </c>
      <c r="K50" s="205">
        <v>8180.78</v>
      </c>
      <c r="L50" s="205">
        <f t="shared" si="1"/>
        <v>-1446.0900000000001</v>
      </c>
      <c r="M50" s="266">
        <f t="shared" si="17"/>
        <v>0.823233236928508</v>
      </c>
      <c r="N50" s="204">
        <f>E50-жовтень!E50</f>
        <v>650</v>
      </c>
      <c r="O50" s="208">
        <f>F50-жовтень!F50</f>
        <v>540.75</v>
      </c>
      <c r="P50" s="207">
        <f t="shared" si="15"/>
        <v>-109.25</v>
      </c>
      <c r="Q50" s="205">
        <f t="shared" si="12"/>
        <v>83.1923076923077</v>
      </c>
      <c r="R50" s="42"/>
      <c r="S50" s="100"/>
      <c r="T50" s="186">
        <f t="shared" si="8"/>
        <v>783.7700000000004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6101.19</v>
      </c>
      <c r="F51" s="196">
        <v>5102.74</v>
      </c>
      <c r="G51" s="202">
        <f t="shared" si="13"/>
        <v>-998.4499999999998</v>
      </c>
      <c r="H51" s="204">
        <f t="shared" si="11"/>
        <v>83.63515969835393</v>
      </c>
      <c r="I51" s="205">
        <f t="shared" si="14"/>
        <v>-1897.3000000000002</v>
      </c>
      <c r="J51" s="205">
        <f t="shared" si="16"/>
        <v>72.8958691664619</v>
      </c>
      <c r="K51" s="205">
        <v>6761.32</v>
      </c>
      <c r="L51" s="205">
        <f t="shared" si="1"/>
        <v>-1658.58</v>
      </c>
      <c r="M51" s="266">
        <f t="shared" si="17"/>
        <v>0.7546958286251797</v>
      </c>
      <c r="N51" s="204">
        <f>E51-жовтень!E51</f>
        <v>635</v>
      </c>
      <c r="O51" s="208">
        <f>F51-жовтень!F51</f>
        <v>92.21000000000004</v>
      </c>
      <c r="P51" s="207">
        <f t="shared" si="15"/>
        <v>-542.79</v>
      </c>
      <c r="Q51" s="205">
        <f t="shared" si="12"/>
        <v>14.52125984251969</v>
      </c>
      <c r="R51" s="42"/>
      <c r="S51" s="100"/>
      <c r="T51" s="186">
        <f t="shared" si="8"/>
        <v>898.8500000000004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873.99</v>
      </c>
      <c r="F52" s="171">
        <v>784.86</v>
      </c>
      <c r="G52" s="36">
        <f t="shared" si="13"/>
        <v>-89.13</v>
      </c>
      <c r="H52" s="32">
        <f t="shared" si="11"/>
        <v>89.801942813991</v>
      </c>
      <c r="I52" s="110">
        <f t="shared" si="14"/>
        <v>-185.14</v>
      </c>
      <c r="J52" s="110">
        <f t="shared" si="16"/>
        <v>80.91340206185566</v>
      </c>
      <c r="K52" s="110">
        <v>1017.62</v>
      </c>
      <c r="L52" s="110">
        <f>F52-K52</f>
        <v>-232.76</v>
      </c>
      <c r="M52" s="115">
        <f t="shared" si="17"/>
        <v>0.7712702187457008</v>
      </c>
      <c r="N52" s="111">
        <f>E52-жовтень!E52</f>
        <v>135</v>
      </c>
      <c r="O52" s="179">
        <f>F52-жовтень!F52</f>
        <v>82.56000000000006</v>
      </c>
      <c r="P52" s="112">
        <f t="shared" si="15"/>
        <v>-52.43999999999994</v>
      </c>
      <c r="Q52" s="132">
        <f t="shared" si="12"/>
        <v>61.155555555555594</v>
      </c>
      <c r="R52" s="42"/>
      <c r="S52" s="100"/>
      <c r="T52" s="186">
        <f t="shared" si="8"/>
        <v>96.00999999999999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44.15</v>
      </c>
      <c r="L53" s="110">
        <f>F53-K53</f>
        <v>-43.86</v>
      </c>
      <c r="M53" s="115">
        <f t="shared" si="17"/>
        <v>0.006568516421291053</v>
      </c>
      <c r="N53" s="111">
        <f>E53-жовтень!E53</f>
        <v>0</v>
      </c>
      <c r="O53" s="179">
        <f>F53-жовтень!F53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E54-жовтень!E54</f>
        <v>0</v>
      </c>
      <c r="O54" s="179">
        <f>F54-жовтень!F54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5222.17</v>
      </c>
      <c r="F55" s="171">
        <v>4317.57</v>
      </c>
      <c r="G55" s="36">
        <f t="shared" si="13"/>
        <v>-904.6000000000004</v>
      </c>
      <c r="H55" s="32">
        <f t="shared" si="11"/>
        <v>82.67769911741671</v>
      </c>
      <c r="I55" s="110">
        <f t="shared" si="14"/>
        <v>-1706.4300000000003</v>
      </c>
      <c r="J55" s="110">
        <f t="shared" si="16"/>
        <v>71.67280876494023</v>
      </c>
      <c r="K55" s="110">
        <v>5698.8</v>
      </c>
      <c r="L55" s="110">
        <f>F55-K55</f>
        <v>-1381.2300000000005</v>
      </c>
      <c r="M55" s="115">
        <f t="shared" si="17"/>
        <v>0.7576279216677194</v>
      </c>
      <c r="N55" s="111">
        <f>E55-жовтень!E55</f>
        <v>500</v>
      </c>
      <c r="O55" s="179">
        <f>F55-жовтень!F55</f>
        <v>9.649999999999636</v>
      </c>
      <c r="P55" s="112">
        <f t="shared" si="15"/>
        <v>-490.35000000000036</v>
      </c>
      <c r="Q55" s="132">
        <f t="shared" si="12"/>
        <v>1.9299999999999273</v>
      </c>
      <c r="R55" s="42"/>
      <c r="S55" s="100"/>
      <c r="T55" s="186">
        <f t="shared" si="8"/>
        <v>801.8299999999999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E56-жовтень!E56</f>
        <v>0</v>
      </c>
      <c r="O56" s="208">
        <f>F56-жовтень!F56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5137.98</v>
      </c>
      <c r="F57" s="196">
        <v>5945.02</v>
      </c>
      <c r="G57" s="202">
        <f t="shared" si="13"/>
        <v>807.0400000000009</v>
      </c>
      <c r="H57" s="204">
        <f t="shared" si="11"/>
        <v>115.7073402387709</v>
      </c>
      <c r="I57" s="205">
        <f t="shared" si="14"/>
        <v>795.0200000000004</v>
      </c>
      <c r="J57" s="205">
        <f t="shared" si="16"/>
        <v>115.43728155339808</v>
      </c>
      <c r="K57" s="205">
        <v>4367.82</v>
      </c>
      <c r="L57" s="205">
        <f aca="true" t="shared" si="18" ref="L57:L63">F57-K57</f>
        <v>1577.2000000000007</v>
      </c>
      <c r="M57" s="266">
        <f t="shared" si="17"/>
        <v>1.361095466388267</v>
      </c>
      <c r="N57" s="204">
        <f>E57-жовтень!E57</f>
        <v>60</v>
      </c>
      <c r="O57" s="208">
        <f>F57-жовтень!F57</f>
        <v>406.5600000000004</v>
      </c>
      <c r="P57" s="207">
        <f t="shared" si="15"/>
        <v>346.5600000000004</v>
      </c>
      <c r="Q57" s="205">
        <f t="shared" si="12"/>
        <v>677.6000000000007</v>
      </c>
      <c r="R57" s="42"/>
      <c r="S57" s="100"/>
      <c r="T57" s="186">
        <f t="shared" si="8"/>
        <v>12.020000000000437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E58-жовтень!E58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1256.04</v>
      </c>
      <c r="G59" s="202"/>
      <c r="H59" s="204"/>
      <c r="I59" s="205"/>
      <c r="J59" s="205"/>
      <c r="K59" s="206">
        <v>1141.97</v>
      </c>
      <c r="L59" s="205">
        <f t="shared" si="18"/>
        <v>114.06999999999994</v>
      </c>
      <c r="M59" s="266">
        <f t="shared" si="17"/>
        <v>1.0998887886722069</v>
      </c>
      <c r="N59" s="204"/>
      <c r="O59" s="220">
        <f>F59-жовтень!F59</f>
        <v>119.17000000000007</v>
      </c>
      <c r="P59" s="206"/>
      <c r="Q59" s="205"/>
      <c r="R59" s="42"/>
      <c r="S59" s="100"/>
      <c r="T59" s="186">
        <f t="shared" si="8"/>
        <v>0</v>
      </c>
    </row>
    <row r="60" spans="1:20" s="6" customFormat="1" ht="18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E61-жовтень!E61</f>
        <v>0</v>
      </c>
      <c r="O61" s="208">
        <f>F61-жовтень!F61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23.7</v>
      </c>
      <c r="F62" s="196">
        <v>13.52</v>
      </c>
      <c r="G62" s="202">
        <f t="shared" si="13"/>
        <v>-10.18</v>
      </c>
      <c r="H62" s="204">
        <f t="shared" si="11"/>
        <v>57.04641350210971</v>
      </c>
      <c r="I62" s="205">
        <f t="shared" si="14"/>
        <v>-16.48</v>
      </c>
      <c r="J62" s="205">
        <f t="shared" si="16"/>
        <v>45.06666666666666</v>
      </c>
      <c r="K62" s="205">
        <v>28.08</v>
      </c>
      <c r="L62" s="205">
        <f t="shared" si="18"/>
        <v>-14.559999999999999</v>
      </c>
      <c r="M62" s="266">
        <f t="shared" si="17"/>
        <v>0.4814814814814815</v>
      </c>
      <c r="N62" s="204">
        <f>E62-жовтень!E62</f>
        <v>2.3000000000000007</v>
      </c>
      <c r="O62" s="208">
        <f>F62-жовтень!F62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6.300000000000001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1.07</v>
      </c>
      <c r="G63" s="202">
        <f t="shared" si="13"/>
        <v>0.8700000000000001</v>
      </c>
      <c r="H63" s="204"/>
      <c r="I63" s="205">
        <f t="shared" si="14"/>
        <v>0.27</v>
      </c>
      <c r="J63" s="205"/>
      <c r="K63" s="205">
        <v>0.54</v>
      </c>
      <c r="L63" s="205">
        <f t="shared" si="18"/>
        <v>0.53</v>
      </c>
      <c r="M63" s="266">
        <f t="shared" si="17"/>
        <v>1.9814814814814814</v>
      </c>
      <c r="N63" s="204">
        <f>E63-жовтень!E63</f>
        <v>0</v>
      </c>
      <c r="O63" s="208">
        <f>F63-жовтень!F63</f>
        <v>0.050000000000000044</v>
      </c>
      <c r="P63" s="207">
        <f t="shared" si="15"/>
        <v>0.050000000000000044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943629.7799999999</v>
      </c>
      <c r="F64" s="191">
        <f>F8+F38+F62+F63</f>
        <v>951700.9999999999</v>
      </c>
      <c r="G64" s="191">
        <f>F64-E64</f>
        <v>8071.219999999972</v>
      </c>
      <c r="H64" s="192">
        <f>F64/E64*100</f>
        <v>100.85533756681566</v>
      </c>
      <c r="I64" s="193">
        <f>F64-D64</f>
        <v>-67243.73000000021</v>
      </c>
      <c r="J64" s="193">
        <f>F64/D64*100</f>
        <v>93.40064990571175</v>
      </c>
      <c r="K64" s="193">
        <v>650580.27</v>
      </c>
      <c r="L64" s="193">
        <f>F64-K64</f>
        <v>301120.72999999986</v>
      </c>
      <c r="M64" s="267">
        <f>F64/K64</f>
        <v>1.4628494651397894</v>
      </c>
      <c r="N64" s="191">
        <f>N8+N38+N62+N63</f>
        <v>92637.22000000002</v>
      </c>
      <c r="O64" s="191">
        <f>O8+O38+O62+O63</f>
        <v>99049.96999999999</v>
      </c>
      <c r="P64" s="195">
        <f>O64-N64</f>
        <v>6412.749999999971</v>
      </c>
      <c r="Q64" s="193">
        <f>O64/N64*100</f>
        <v>106.92243355316575</v>
      </c>
      <c r="R64" s="28">
        <f>O64-34768</f>
        <v>64281.96999999999</v>
      </c>
      <c r="S64" s="128">
        <f>O64/34768</f>
        <v>2.8488831684307407</v>
      </c>
      <c r="T64" s="186">
        <f t="shared" si="8"/>
        <v>75314.95000000019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F69-жовтень!F69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-55.72</v>
      </c>
      <c r="L70" s="207">
        <f>F70-K70</f>
        <v>45.53</v>
      </c>
      <c r="M70" s="254">
        <f>F70/K70</f>
        <v>0.18287867910983488</v>
      </c>
      <c r="N70" s="204"/>
      <c r="O70" s="223">
        <f>F70-жовтень!F70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-51.72</v>
      </c>
      <c r="L71" s="228">
        <f>F71-K71</f>
        <v>41.54</v>
      </c>
      <c r="M71" s="260">
        <f>F71/K71</f>
        <v>0.1968290796597061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f>4200+11000</f>
        <v>15200</v>
      </c>
      <c r="E73" s="221">
        <v>4200</v>
      </c>
      <c r="F73" s="222">
        <v>2260.63</v>
      </c>
      <c r="G73" s="202">
        <f aca="true" t="shared" si="19" ref="G73:G83">F73-E73</f>
        <v>-1939.37</v>
      </c>
      <c r="H73" s="204"/>
      <c r="I73" s="207">
        <f aca="true" t="shared" si="20" ref="I73:I83">F73-D73</f>
        <v>-12939.369999999999</v>
      </c>
      <c r="J73" s="207">
        <f>F73/D73*100</f>
        <v>14.872565789473684</v>
      </c>
      <c r="K73" s="207">
        <v>619</v>
      </c>
      <c r="L73" s="207">
        <f aca="true" t="shared" si="21" ref="L73:L83">F73-K73</f>
        <v>1641.63</v>
      </c>
      <c r="M73" s="254">
        <f>F73/K73</f>
        <v>3.652067851373183</v>
      </c>
      <c r="N73" s="204">
        <f>E73-жовтень!E73</f>
        <v>1500</v>
      </c>
      <c r="O73" s="208">
        <f>F73-жовтень!F73</f>
        <v>208.4300000000003</v>
      </c>
      <c r="P73" s="207">
        <f aca="true" t="shared" si="22" ref="P73:P86">O73-N73</f>
        <v>-1291.5699999999997</v>
      </c>
      <c r="Q73" s="207">
        <f>O73/N73*100</f>
        <v>13.895333333333355</v>
      </c>
      <c r="R73" s="43"/>
      <c r="S73" s="103"/>
      <c r="T73" s="186">
        <f t="shared" si="8"/>
        <v>11000</v>
      </c>
    </row>
    <row r="74" spans="2:20" ht="18">
      <c r="B74" s="23" t="s">
        <v>31</v>
      </c>
      <c r="C74" s="78">
        <v>33010000</v>
      </c>
      <c r="D74" s="221">
        <f>7459+9700</f>
        <v>17159</v>
      </c>
      <c r="E74" s="221">
        <f>5554.31+4700</f>
        <v>10254.310000000001</v>
      </c>
      <c r="F74" s="222">
        <v>7293.63</v>
      </c>
      <c r="G74" s="202">
        <f t="shared" si="19"/>
        <v>-2960.680000000001</v>
      </c>
      <c r="H74" s="204">
        <f>F74/E74*100</f>
        <v>71.12745762513518</v>
      </c>
      <c r="I74" s="207">
        <f t="shared" si="20"/>
        <v>-9865.369999999999</v>
      </c>
      <c r="J74" s="207">
        <f>F74/D74*100</f>
        <v>42.50614837694505</v>
      </c>
      <c r="K74" s="207">
        <v>8212.99</v>
      </c>
      <c r="L74" s="207">
        <f t="shared" si="21"/>
        <v>-919.3599999999997</v>
      </c>
      <c r="M74" s="254">
        <f>F74/K74</f>
        <v>0.8880602557655617</v>
      </c>
      <c r="N74" s="204">
        <f>E74-жовтень!E74</f>
        <v>5101.4000000000015</v>
      </c>
      <c r="O74" s="208">
        <f>F74-жовтень!F74</f>
        <v>52.13000000000011</v>
      </c>
      <c r="P74" s="207">
        <f t="shared" si="22"/>
        <v>-5049.270000000001</v>
      </c>
      <c r="Q74" s="207">
        <f>O74/N74*100</f>
        <v>1.0218763476692692</v>
      </c>
      <c r="R74" s="43"/>
      <c r="S74" s="103"/>
      <c r="T74" s="186">
        <f aca="true" t="shared" si="23" ref="T74:T90">D74-E74</f>
        <v>6904.689999999999</v>
      </c>
    </row>
    <row r="75" spans="2:20" ht="31.5">
      <c r="B75" s="23" t="s">
        <v>55</v>
      </c>
      <c r="C75" s="78">
        <v>24170000</v>
      </c>
      <c r="D75" s="221">
        <f>6000+10000</f>
        <v>16000</v>
      </c>
      <c r="E75" s="221">
        <f>4500.85+4000</f>
        <v>8500.85</v>
      </c>
      <c r="F75" s="222">
        <v>12375.13</v>
      </c>
      <c r="G75" s="202">
        <f t="shared" si="19"/>
        <v>3874.279999999999</v>
      </c>
      <c r="H75" s="204">
        <f>F75/E75*100</f>
        <v>145.5752071851638</v>
      </c>
      <c r="I75" s="207">
        <f t="shared" si="20"/>
        <v>-3624.870000000001</v>
      </c>
      <c r="J75" s="207">
        <f>F75/D75*100</f>
        <v>77.3445625</v>
      </c>
      <c r="K75" s="207">
        <v>2292.73</v>
      </c>
      <c r="L75" s="207">
        <f t="shared" si="21"/>
        <v>10082.4</v>
      </c>
      <c r="M75" s="254">
        <f>F75/K75</f>
        <v>5.397552263022685</v>
      </c>
      <c r="N75" s="204">
        <f>E75-жовтень!E75</f>
        <v>5500</v>
      </c>
      <c r="O75" s="208">
        <f>F75-жовтень!F75</f>
        <v>128.3799999999992</v>
      </c>
      <c r="P75" s="207">
        <f t="shared" si="22"/>
        <v>-5371.620000000001</v>
      </c>
      <c r="Q75" s="207">
        <f>O75/N75*100</f>
        <v>2.3341818181818037</v>
      </c>
      <c r="R75" s="43"/>
      <c r="S75" s="103"/>
      <c r="T75" s="186">
        <f t="shared" si="23"/>
        <v>7499.15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11</v>
      </c>
      <c r="F76" s="222">
        <v>12</v>
      </c>
      <c r="G76" s="202">
        <f t="shared" si="19"/>
        <v>1</v>
      </c>
      <c r="H76" s="204">
        <f>F76/E76*100</f>
        <v>109.09090909090908</v>
      </c>
      <c r="I76" s="207">
        <f t="shared" si="20"/>
        <v>0</v>
      </c>
      <c r="J76" s="207">
        <f>F76/D76*100</f>
        <v>100</v>
      </c>
      <c r="K76" s="207">
        <v>0</v>
      </c>
      <c r="L76" s="207">
        <f t="shared" si="21"/>
        <v>12</v>
      </c>
      <c r="M76" s="254"/>
      <c r="N76" s="204">
        <f>E76-жовтень!E76</f>
        <v>1</v>
      </c>
      <c r="O76" s="208">
        <f>F76-жовтень!F76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1</v>
      </c>
    </row>
    <row r="77" spans="2:20" ht="33">
      <c r="B77" s="29" t="s">
        <v>52</v>
      </c>
      <c r="C77" s="70"/>
      <c r="D77" s="224">
        <f>D73+D74+D75+D76</f>
        <v>48371</v>
      </c>
      <c r="E77" s="224">
        <f>E73+E74+E75+E76</f>
        <v>22966.160000000003</v>
      </c>
      <c r="F77" s="225">
        <f>F73+F74+F75+F76</f>
        <v>21941.39</v>
      </c>
      <c r="G77" s="226">
        <f t="shared" si="19"/>
        <v>-1024.770000000004</v>
      </c>
      <c r="H77" s="227">
        <f>F77/E77*100</f>
        <v>95.53791317312078</v>
      </c>
      <c r="I77" s="228">
        <f t="shared" si="20"/>
        <v>-26429.61</v>
      </c>
      <c r="J77" s="228">
        <f>F77/D77*100</f>
        <v>45.36062930268136</v>
      </c>
      <c r="K77" s="228">
        <v>11124.73</v>
      </c>
      <c r="L77" s="228">
        <f t="shared" si="21"/>
        <v>10816.66</v>
      </c>
      <c r="M77" s="260">
        <f>F77/K77</f>
        <v>1.97230764252256</v>
      </c>
      <c r="N77" s="226">
        <f>N73+N74+N75+N76</f>
        <v>12102.400000000001</v>
      </c>
      <c r="O77" s="230">
        <f>O73+O74+O75+O76</f>
        <v>389.9399999999996</v>
      </c>
      <c r="P77" s="228">
        <f t="shared" si="22"/>
        <v>-11712.460000000003</v>
      </c>
      <c r="Q77" s="228">
        <f>O77/N77*100</f>
        <v>3.2220055526176585</v>
      </c>
      <c r="R77" s="44"/>
      <c r="S77" s="129"/>
      <c r="T77" s="186">
        <f t="shared" si="23"/>
        <v>25404.839999999997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53.94</v>
      </c>
      <c r="G78" s="202">
        <f t="shared" si="19"/>
        <v>53.94</v>
      </c>
      <c r="H78" s="204"/>
      <c r="I78" s="207">
        <f t="shared" si="20"/>
        <v>52.94</v>
      </c>
      <c r="J78" s="207"/>
      <c r="K78" s="207">
        <v>0.35</v>
      </c>
      <c r="L78" s="207">
        <f t="shared" si="21"/>
        <v>53.589999999999996</v>
      </c>
      <c r="M78" s="254">
        <f>F78/K78</f>
        <v>154.11428571428573</v>
      </c>
      <c r="N78" s="204">
        <f>E78-жовтень!E78</f>
        <v>0</v>
      </c>
      <c r="O78" s="208">
        <f>F78-жовтень!F78</f>
        <v>17.989999999999995</v>
      </c>
      <c r="P78" s="207">
        <f t="shared" si="22"/>
        <v>17.989999999999995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E79-жовтень!E79</f>
        <v>0</v>
      </c>
      <c r="O79" s="208">
        <f>F79-жовтень!F79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9498.7</v>
      </c>
      <c r="F80" s="222">
        <v>8350.66</v>
      </c>
      <c r="G80" s="202">
        <f t="shared" si="19"/>
        <v>-1148.0400000000009</v>
      </c>
      <c r="H80" s="204">
        <f>F80/E80*100</f>
        <v>87.91371450830113</v>
      </c>
      <c r="I80" s="207">
        <f t="shared" si="20"/>
        <v>-1149.3400000000001</v>
      </c>
      <c r="J80" s="207">
        <f>F80/D80*100</f>
        <v>87.90168421052631</v>
      </c>
      <c r="K80" s="207">
        <v>0</v>
      </c>
      <c r="L80" s="207">
        <f t="shared" si="21"/>
        <v>8350.66</v>
      </c>
      <c r="M80" s="254"/>
      <c r="N80" s="204">
        <f>E80-жовтень!E80</f>
        <v>1873.4000000000005</v>
      </c>
      <c r="O80" s="208">
        <f>F80-жовтень!F80</f>
        <v>1514.5900000000001</v>
      </c>
      <c r="P80" s="207">
        <f>O80-N80</f>
        <v>-358.8100000000004</v>
      </c>
      <c r="Q80" s="231">
        <f>O80/N80*100</f>
        <v>80.84712287818937</v>
      </c>
      <c r="R80" s="46"/>
      <c r="S80" s="105"/>
      <c r="T80" s="186">
        <f t="shared" si="23"/>
        <v>1.2999999999992724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1.48</v>
      </c>
      <c r="G81" s="202">
        <f t="shared" si="19"/>
        <v>1.48</v>
      </c>
      <c r="H81" s="204"/>
      <c r="I81" s="207">
        <f t="shared" si="20"/>
        <v>1.48</v>
      </c>
      <c r="J81" s="207"/>
      <c r="K81" s="207">
        <v>1.31</v>
      </c>
      <c r="L81" s="207">
        <f t="shared" si="21"/>
        <v>0.16999999999999993</v>
      </c>
      <c r="M81" s="254">
        <f>F81/K81</f>
        <v>1.129770992366412</v>
      </c>
      <c r="N81" s="204">
        <f>E81-жовтень!E81</f>
        <v>0</v>
      </c>
      <c r="O81" s="208">
        <f>F81-жовтень!F81</f>
        <v>0.1399999999999999</v>
      </c>
      <c r="P81" s="207">
        <f t="shared" si="22"/>
        <v>0.1399999999999999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9498.7</v>
      </c>
      <c r="F82" s="225">
        <f>F78+F81+F79+F80</f>
        <v>8406.08</v>
      </c>
      <c r="G82" s="224">
        <f>G78+G81+G79+G80</f>
        <v>-1092.6200000000008</v>
      </c>
      <c r="H82" s="227">
        <f>F82/E82*100</f>
        <v>88.49716276964216</v>
      </c>
      <c r="I82" s="228">
        <f t="shared" si="20"/>
        <v>-1094.92</v>
      </c>
      <c r="J82" s="228">
        <f>F82/D82*100</f>
        <v>88.47573939585307</v>
      </c>
      <c r="K82" s="228">
        <v>1.66</v>
      </c>
      <c r="L82" s="228">
        <f t="shared" si="21"/>
        <v>8404.42</v>
      </c>
      <c r="M82" s="268">
        <f>F82/K82</f>
        <v>5063.903614457831</v>
      </c>
      <c r="N82" s="226">
        <f>N78+N81+N79+N80</f>
        <v>1873.4000000000005</v>
      </c>
      <c r="O82" s="230">
        <f>O78+O81+O79+O80</f>
        <v>1532.7200000000003</v>
      </c>
      <c r="P82" s="226">
        <f>P78+P81+P79+P80</f>
        <v>-340.6800000000004</v>
      </c>
      <c r="Q82" s="228">
        <f>O82/N82*100</f>
        <v>81.81488203266787</v>
      </c>
      <c r="R82" s="44"/>
      <c r="S82" s="102"/>
      <c r="T82" s="186">
        <f t="shared" si="23"/>
        <v>2.2999999999992724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30.36</v>
      </c>
      <c r="F83" s="222">
        <v>27.79</v>
      </c>
      <c r="G83" s="202">
        <f t="shared" si="19"/>
        <v>-2.5700000000000003</v>
      </c>
      <c r="H83" s="204">
        <f>F83/E83*100</f>
        <v>91.53491436100131</v>
      </c>
      <c r="I83" s="207">
        <f t="shared" si="20"/>
        <v>-15.21</v>
      </c>
      <c r="J83" s="207">
        <f>F83/D83*100</f>
        <v>64.62790697674419</v>
      </c>
      <c r="K83" s="207">
        <v>30.61</v>
      </c>
      <c r="L83" s="207">
        <f t="shared" si="21"/>
        <v>-2.8200000000000003</v>
      </c>
      <c r="M83" s="254">
        <f>F83/K83</f>
        <v>0.9078732440378962</v>
      </c>
      <c r="N83" s="204">
        <f>E83-жовтень!E83</f>
        <v>0.5899999999999999</v>
      </c>
      <c r="O83" s="208">
        <f>F83-жовтень!F83</f>
        <v>0.3200000000000003</v>
      </c>
      <c r="P83" s="207">
        <f t="shared" si="22"/>
        <v>-0.2699999999999996</v>
      </c>
      <c r="Q83" s="207">
        <f>O83/N83</f>
        <v>0.5423728813559329</v>
      </c>
      <c r="R83" s="43"/>
      <c r="S83" s="103"/>
      <c r="T83" s="186">
        <f t="shared" si="23"/>
        <v>12.64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57915</v>
      </c>
      <c r="E85" s="232">
        <f>E71+E83+E77+E82</f>
        <v>32495.220000000005</v>
      </c>
      <c r="F85" s="232">
        <f>F71+F83+F77+F82+F84</f>
        <v>30365.08</v>
      </c>
      <c r="G85" s="233">
        <f>F85-E85</f>
        <v>-2130.140000000003</v>
      </c>
      <c r="H85" s="234">
        <f>F85/E85*100</f>
        <v>93.44475895223974</v>
      </c>
      <c r="I85" s="235">
        <f>F85-D85</f>
        <v>-27549.92</v>
      </c>
      <c r="J85" s="235">
        <f>F85/D85*100</f>
        <v>52.43042389709057</v>
      </c>
      <c r="K85" s="235">
        <v>11101.47</v>
      </c>
      <c r="L85" s="235">
        <f>F85-K85</f>
        <v>19263.61</v>
      </c>
      <c r="M85" s="269">
        <f>F85/K85</f>
        <v>2.7352305595565274</v>
      </c>
      <c r="N85" s="232">
        <f>N71+N83+N77+N82</f>
        <v>13976.390000000003</v>
      </c>
      <c r="O85" s="232">
        <f>O71+O83+O77+O82+O84</f>
        <v>1922.9799999999998</v>
      </c>
      <c r="P85" s="235">
        <f t="shared" si="22"/>
        <v>-12053.410000000003</v>
      </c>
      <c r="Q85" s="235">
        <f>O85/N85*100</f>
        <v>13.758774619197084</v>
      </c>
      <c r="R85" s="28">
        <f>O85-8104.96</f>
        <v>-6181.9800000000005</v>
      </c>
      <c r="S85" s="101">
        <f>O85/8104.96</f>
        <v>0.23725965334807325</v>
      </c>
      <c r="T85" s="186">
        <f t="shared" si="23"/>
        <v>25419.779999999995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976124.9999999999</v>
      </c>
      <c r="F86" s="232">
        <f>F64+F85</f>
        <v>982066.0799999998</v>
      </c>
      <c r="G86" s="233">
        <f>F86-E86</f>
        <v>5941.079999999958</v>
      </c>
      <c r="H86" s="234">
        <f>F86/E86*100</f>
        <v>100.60863926238954</v>
      </c>
      <c r="I86" s="235">
        <f>F86-D86</f>
        <v>-94793.65000000014</v>
      </c>
      <c r="J86" s="235">
        <f>F86/D86*100</f>
        <v>91.19721470130561</v>
      </c>
      <c r="K86" s="235">
        <f>K64+K85</f>
        <v>661681.74</v>
      </c>
      <c r="L86" s="235">
        <f>F86-K86</f>
        <v>320384.33999999985</v>
      </c>
      <c r="M86" s="269">
        <f>F86/K86</f>
        <v>1.4841970401057158</v>
      </c>
      <c r="N86" s="233">
        <f>N64+N85</f>
        <v>106613.61000000002</v>
      </c>
      <c r="O86" s="233">
        <f>O64+O85</f>
        <v>100972.94999999998</v>
      </c>
      <c r="P86" s="235">
        <f t="shared" si="22"/>
        <v>-5640.660000000033</v>
      </c>
      <c r="Q86" s="235">
        <f>O86/N86*100</f>
        <v>94.70924959768267</v>
      </c>
      <c r="R86" s="28">
        <f>O86-42872.96</f>
        <v>58099.98999999998</v>
      </c>
      <c r="S86" s="101">
        <f>O86/42872.96</f>
        <v>2.3551662866291476</v>
      </c>
      <c r="T86" s="186">
        <f t="shared" si="23"/>
        <v>100734.7300000001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42704</v>
      </c>
      <c r="D90" s="31">
        <v>10501.2</v>
      </c>
      <c r="G90" s="4" t="s">
        <v>59</v>
      </c>
      <c r="O90" s="443"/>
      <c r="P90" s="443"/>
      <c r="T90" s="186">
        <f t="shared" si="23"/>
        <v>10501.2</v>
      </c>
    </row>
    <row r="91" spans="3:16" ht="15">
      <c r="C91" s="87">
        <v>42703</v>
      </c>
      <c r="D91" s="31">
        <v>11827.8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42702</v>
      </c>
      <c r="D92" s="31">
        <v>7211.9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.75" customHeight="1">
      <c r="B94" s="451" t="s">
        <v>57</v>
      </c>
      <c r="C94" s="452"/>
      <c r="D94" s="148">
        <v>0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.75" customHeight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980</v>
      </c>
      <c r="F97" s="247">
        <f>F45+F48+F49</f>
        <v>931.5899999999999</v>
      </c>
      <c r="G97" s="73">
        <f>G45+G48+G49</f>
        <v>-48.41000000000005</v>
      </c>
      <c r="H97" s="74"/>
      <c r="I97" s="74"/>
      <c r="N97" s="31">
        <f>N45+N48+N49</f>
        <v>22</v>
      </c>
      <c r="O97" s="246">
        <f>O45+O48+O49</f>
        <v>137.07999999999996</v>
      </c>
      <c r="P97" s="31">
        <f>P45+P48+P49</f>
        <v>115.07999999999997</v>
      </c>
    </row>
    <row r="98" spans="4:16" ht="15" hidden="1">
      <c r="D98" s="83"/>
      <c r="I98" s="31"/>
      <c r="O98" s="449"/>
      <c r="P98" s="449"/>
    </row>
    <row r="99" spans="2:17" ht="15" hidden="1">
      <c r="B99" s="4" t="s">
        <v>219</v>
      </c>
      <c r="D99" s="31">
        <f>D9+D15+D17+D18+D19+D20+D39+D42+D56+D62+D63</f>
        <v>957512.2500000001</v>
      </c>
      <c r="E99" s="31">
        <f>E9+E15+E17+E18+E19+E20+E39+E42+E56+E62+E63</f>
        <v>884843.9199999999</v>
      </c>
      <c r="F99" s="414">
        <f>F9+F15+F17+F18+F19+F20+F39+F42+F56+F62+F63</f>
        <v>891166.8299999998</v>
      </c>
      <c r="G99" s="31">
        <f>F99-E99</f>
        <v>6322.909999999916</v>
      </c>
      <c r="H99" s="415">
        <f>F99/E99</f>
        <v>1.007145791316507</v>
      </c>
      <c r="I99" s="31">
        <f>F99-D99</f>
        <v>-66345.42000000027</v>
      </c>
      <c r="J99" s="415">
        <f>F99/D99</f>
        <v>0.9307106305950652</v>
      </c>
      <c r="N99" s="31">
        <f>N9+N15+N17+N18+N19+N20+N39+N42+N44+N56+N62+N63</f>
        <v>88760.22000000002</v>
      </c>
      <c r="O99" s="414">
        <f>O9+O15+O17+O18+O19+O20+O39+O42+O44+O56+O62+O63</f>
        <v>93083.55999999998</v>
      </c>
      <c r="P99" s="31">
        <f>O99-N99</f>
        <v>4323.339999999967</v>
      </c>
      <c r="Q99" s="415">
        <f>O99/N99</f>
        <v>1.0487080811651883</v>
      </c>
    </row>
    <row r="100" spans="2:17" ht="15" hidden="1">
      <c r="B100" s="4" t="s">
        <v>220</v>
      </c>
      <c r="D100" s="31">
        <f>D40+D41+D43+D45+D47+D48+D49+D50+D51+D57+D61+D44</f>
        <v>61432.48</v>
      </c>
      <c r="E100" s="31">
        <f>E40+E41+E43+E45+E47+E48+E49+E50+E51+E57+E61+E44</f>
        <v>58785.86</v>
      </c>
      <c r="F100" s="414">
        <f>F40+F41+F43+F45+F47+F48+F49+F50+F51+F57+F61+F44</f>
        <v>60534.17000000001</v>
      </c>
      <c r="G100" s="31">
        <f>G40+G41+G43+G45+G47+G48+G49+G50+G51+G57+G61+G44</f>
        <v>1748.3100000000009</v>
      </c>
      <c r="H100" s="415">
        <f>F100/E100</f>
        <v>1.0297403151029858</v>
      </c>
      <c r="I100" s="31">
        <f>I40+I41+I43+I45+I47+I48+I49+I50+I51+I57+I61+I44</f>
        <v>-898.3099999999998</v>
      </c>
      <c r="J100" s="415">
        <f>F100/D100</f>
        <v>0.985377279250325</v>
      </c>
      <c r="K100" s="31">
        <f aca="true" t="shared" si="24" ref="K100:P100">K40+K41+K43+K45+K47+K48+K49+K50+K51+K57+K61+K44</f>
        <v>41736.590000000004</v>
      </c>
      <c r="L100" s="31">
        <f t="shared" si="24"/>
        <v>18797.579999999998</v>
      </c>
      <c r="M100" s="31">
        <f t="shared" si="24"/>
        <v>12.944314082761139</v>
      </c>
      <c r="N100" s="31">
        <f t="shared" si="24"/>
        <v>3877</v>
      </c>
      <c r="O100" s="414">
        <f t="shared" si="24"/>
        <v>6003.830000000002</v>
      </c>
      <c r="P100" s="31">
        <f t="shared" si="24"/>
        <v>2089.4100000000017</v>
      </c>
      <c r="Q100" s="415">
        <f>O100/N100</f>
        <v>1.5485762187258194</v>
      </c>
    </row>
    <row r="101" spans="2:17" ht="15" hidden="1">
      <c r="B101" s="4" t="s">
        <v>221</v>
      </c>
      <c r="D101" s="31">
        <f>SUM(D99:D100)</f>
        <v>1018944.7300000001</v>
      </c>
      <c r="E101" s="31">
        <f aca="true" t="shared" si="25" ref="E101:P101">SUM(E99:E100)</f>
        <v>943629.7799999999</v>
      </c>
      <c r="F101" s="414">
        <f t="shared" si="25"/>
        <v>951700.9999999999</v>
      </c>
      <c r="G101" s="31">
        <f t="shared" si="25"/>
        <v>8071.2199999999175</v>
      </c>
      <c r="H101" s="415">
        <f>F101/E101</f>
        <v>1.0085533756681566</v>
      </c>
      <c r="I101" s="31">
        <f t="shared" si="25"/>
        <v>-67243.73000000027</v>
      </c>
      <c r="J101" s="415">
        <f>F101/D101</f>
        <v>0.9340064990571174</v>
      </c>
      <c r="K101" s="31">
        <f t="shared" si="25"/>
        <v>41736.590000000004</v>
      </c>
      <c r="L101" s="31">
        <f t="shared" si="25"/>
        <v>18797.579999999998</v>
      </c>
      <c r="M101" s="31">
        <f t="shared" si="25"/>
        <v>12.944314082761139</v>
      </c>
      <c r="N101" s="31">
        <f t="shared" si="25"/>
        <v>92637.22000000002</v>
      </c>
      <c r="O101" s="414">
        <f t="shared" si="25"/>
        <v>99087.38999999998</v>
      </c>
      <c r="P101" s="31">
        <f t="shared" si="25"/>
        <v>6412.749999999969</v>
      </c>
      <c r="Q101" s="415">
        <f>O101/N101</f>
        <v>1.0696282768416405</v>
      </c>
    </row>
    <row r="102" spans="4:21" ht="15" hidden="1">
      <c r="D102" s="31">
        <f>D64-D101</f>
        <v>0</v>
      </c>
      <c r="E102" s="31">
        <f aca="true" t="shared" si="26" ref="E102:U102">E64-E101</f>
        <v>0</v>
      </c>
      <c r="F102" s="31">
        <f t="shared" si="26"/>
        <v>0</v>
      </c>
      <c r="G102" s="31">
        <f t="shared" si="26"/>
        <v>5.4569682106375694E-11</v>
      </c>
      <c r="H102" s="415"/>
      <c r="I102" s="31">
        <f t="shared" si="26"/>
        <v>0</v>
      </c>
      <c r="J102" s="415"/>
      <c r="K102" s="31">
        <f t="shared" si="26"/>
        <v>608843.68</v>
      </c>
      <c r="L102" s="31">
        <f t="shared" si="26"/>
        <v>282323.14999999985</v>
      </c>
      <c r="M102" s="31">
        <f t="shared" si="26"/>
        <v>-11.481464617621349</v>
      </c>
      <c r="N102" s="31">
        <f t="shared" si="26"/>
        <v>0</v>
      </c>
      <c r="O102" s="31">
        <f t="shared" si="26"/>
        <v>-37.419999999998254</v>
      </c>
      <c r="P102" s="31">
        <f t="shared" si="26"/>
        <v>0</v>
      </c>
      <c r="Q102" s="31"/>
      <c r="R102" s="31">
        <f t="shared" si="26"/>
        <v>64281.96999999999</v>
      </c>
      <c r="S102" s="31">
        <f t="shared" si="26"/>
        <v>2.8488831684307407</v>
      </c>
      <c r="T102" s="31">
        <f t="shared" si="26"/>
        <v>75314.95000000019</v>
      </c>
      <c r="U102" s="31">
        <f t="shared" si="26"/>
        <v>0</v>
      </c>
    </row>
    <row r="103" ht="15">
      <c r="E103" s="4" t="s">
        <v>59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.11811023622047245" top="0.1968503937007874" bottom="0.15748031496062992" header="0" footer="0"/>
  <pageSetup fitToHeight="1" fitToWidth="1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8" zoomScaleNormal="78" zoomScalePageLayoutView="0" workbookViewId="0" topLeftCell="B1">
      <pane xSplit="2" ySplit="8" topLeftCell="D1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6" t="s">
        <v>214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208</v>
      </c>
      <c r="O3" s="429" t="s">
        <v>209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210</v>
      </c>
      <c r="F4" s="432" t="s">
        <v>34</v>
      </c>
      <c r="G4" s="434" t="s">
        <v>211</v>
      </c>
      <c r="H4" s="427" t="s">
        <v>212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215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213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795675.9299999999</v>
      </c>
      <c r="F8" s="191">
        <f>F9+F15+F18+F19+F20+F37+F17</f>
        <v>797618.76</v>
      </c>
      <c r="G8" s="191">
        <f aca="true" t="shared" si="0" ref="G8:G37">F8-E8</f>
        <v>1942.8300000000745</v>
      </c>
      <c r="H8" s="192">
        <f>F8/E8*100</f>
        <v>100.244173529291</v>
      </c>
      <c r="I8" s="193">
        <f>F8-D8</f>
        <v>-159452.69000000006</v>
      </c>
      <c r="J8" s="193">
        <f>F8/D8*100</f>
        <v>83.33952078499468</v>
      </c>
      <c r="K8" s="191">
        <v>542586.23</v>
      </c>
      <c r="L8" s="191">
        <f aca="true" t="shared" si="1" ref="L8:L51">F8-K8</f>
        <v>255032.53000000003</v>
      </c>
      <c r="M8" s="250">
        <f aca="true" t="shared" si="2" ref="M8:M28">F8/K8</f>
        <v>1.4700313349271692</v>
      </c>
      <c r="N8" s="191">
        <f>N9+N15+N18+N19+N20+N17</f>
        <v>89825.12</v>
      </c>
      <c r="O8" s="191">
        <f>O9+O15+O18+O19+O20+O17</f>
        <v>89580.09000000001</v>
      </c>
      <c r="P8" s="191">
        <f>O8-N8</f>
        <v>-245.02999999998428</v>
      </c>
      <c r="Q8" s="191">
        <f>O8/N8*100</f>
        <v>99.72721439169801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429123.67</v>
      </c>
      <c r="F9" s="196">
        <v>431282.79</v>
      </c>
      <c r="G9" s="190">
        <f t="shared" si="0"/>
        <v>2159.1199999999953</v>
      </c>
      <c r="H9" s="197">
        <f>F9/E9*100</f>
        <v>100.50314633075355</v>
      </c>
      <c r="I9" s="198">
        <f>F9-D9</f>
        <v>-99306.21000000002</v>
      </c>
      <c r="J9" s="198">
        <f>F9/D9*100</f>
        <v>81.28377897016334</v>
      </c>
      <c r="K9" s="412">
        <v>296275.33</v>
      </c>
      <c r="L9" s="199">
        <f t="shared" si="1"/>
        <v>135007.45999999996</v>
      </c>
      <c r="M9" s="251">
        <f t="shared" si="2"/>
        <v>1.4556824221577949</v>
      </c>
      <c r="N9" s="197">
        <f>E9-вересень!E9</f>
        <v>50045</v>
      </c>
      <c r="O9" s="200">
        <f>F9-вересень!F9</f>
        <v>45956.380000000005</v>
      </c>
      <c r="P9" s="201">
        <f>O9-N9</f>
        <v>-4088.6199999999953</v>
      </c>
      <c r="Q9" s="198">
        <f>O9/N9*100</f>
        <v>91.83011289839146</v>
      </c>
      <c r="R9" s="106"/>
      <c r="S9" s="107"/>
      <c r="T9" s="186">
        <f>D9-E9</f>
        <v>101465.33000000002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386150.24</v>
      </c>
      <c r="F10" s="171">
        <v>379448.35</v>
      </c>
      <c r="G10" s="109">
        <f t="shared" si="0"/>
        <v>-6701.890000000014</v>
      </c>
      <c r="H10" s="32">
        <f aca="true" t="shared" si="3" ref="H10:H36">F10/E10*100</f>
        <v>98.26443458898278</v>
      </c>
      <c r="I10" s="110">
        <f aca="true" t="shared" si="4" ref="I10:I37">F10-D10</f>
        <v>-105760.65000000002</v>
      </c>
      <c r="J10" s="110">
        <f aca="true" t="shared" si="5" ref="J10:J36">F10/D10*100</f>
        <v>78.20307331479836</v>
      </c>
      <c r="K10" s="112">
        <v>262635.28</v>
      </c>
      <c r="L10" s="112">
        <f t="shared" si="1"/>
        <v>116813.06999999995</v>
      </c>
      <c r="M10" s="252">
        <f t="shared" si="2"/>
        <v>1.4447729566263905</v>
      </c>
      <c r="N10" s="111">
        <f>E10-вересень!E10</f>
        <v>47580</v>
      </c>
      <c r="O10" s="179">
        <f>F10-вересень!F10</f>
        <v>40179.29999999999</v>
      </c>
      <c r="P10" s="112">
        <f aca="true" t="shared" si="6" ref="P10:P37">O10-N10</f>
        <v>-7400.700000000012</v>
      </c>
      <c r="Q10" s="198">
        <f aca="true" t="shared" si="7" ref="Q10:Q16">O10/N10*100</f>
        <v>84.44577553593945</v>
      </c>
      <c r="R10" s="42"/>
      <c r="S10" s="100"/>
      <c r="T10" s="186">
        <f aca="true" t="shared" si="8" ref="T10:T73">D10-E10</f>
        <v>99058.76000000001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22814.94</v>
      </c>
      <c r="F11" s="171">
        <v>32764.1</v>
      </c>
      <c r="G11" s="109">
        <f t="shared" si="0"/>
        <v>9949.16</v>
      </c>
      <c r="H11" s="32">
        <f t="shared" si="3"/>
        <v>143.60809189066464</v>
      </c>
      <c r="I11" s="110">
        <f t="shared" si="4"/>
        <v>9764.099999999999</v>
      </c>
      <c r="J11" s="110">
        <f t="shared" si="5"/>
        <v>142.45260869565217</v>
      </c>
      <c r="K11" s="112">
        <v>15809.05</v>
      </c>
      <c r="L11" s="112">
        <f t="shared" si="1"/>
        <v>16955.05</v>
      </c>
      <c r="M11" s="252">
        <f t="shared" si="2"/>
        <v>2.0724901243275213</v>
      </c>
      <c r="N11" s="111">
        <f>E11-вересень!E11</f>
        <v>1300</v>
      </c>
      <c r="O11" s="179">
        <f>F11-вересень!F11</f>
        <v>4266.629999999997</v>
      </c>
      <c r="P11" s="112">
        <f t="shared" si="6"/>
        <v>2966.6299999999974</v>
      </c>
      <c r="Q11" s="198">
        <f t="shared" si="7"/>
        <v>328.2023076923075</v>
      </c>
      <c r="R11" s="42"/>
      <c r="S11" s="100"/>
      <c r="T11" s="186">
        <f t="shared" si="8"/>
        <v>185.0600000000013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6380.61</v>
      </c>
      <c r="F12" s="171">
        <v>7976.57</v>
      </c>
      <c r="G12" s="109">
        <f t="shared" si="0"/>
        <v>1595.96</v>
      </c>
      <c r="H12" s="32">
        <f t="shared" si="3"/>
        <v>125.01265552980045</v>
      </c>
      <c r="I12" s="110">
        <f t="shared" si="4"/>
        <v>1476.5699999999997</v>
      </c>
      <c r="J12" s="110">
        <f t="shared" si="5"/>
        <v>122.71646153846154</v>
      </c>
      <c r="K12" s="112">
        <v>4169.14</v>
      </c>
      <c r="L12" s="112">
        <f t="shared" si="1"/>
        <v>3807.4299999999994</v>
      </c>
      <c r="M12" s="252">
        <f t="shared" si="2"/>
        <v>1.9132411000829905</v>
      </c>
      <c r="N12" s="111">
        <f>E12-вересень!E12</f>
        <v>500</v>
      </c>
      <c r="O12" s="179">
        <f>F12-вересень!F12</f>
        <v>566.8499999999995</v>
      </c>
      <c r="P12" s="112">
        <f t="shared" si="6"/>
        <v>66.84999999999945</v>
      </c>
      <c r="Q12" s="198">
        <f t="shared" si="7"/>
        <v>113.36999999999988</v>
      </c>
      <c r="R12" s="42"/>
      <c r="S12" s="100"/>
      <c r="T12" s="186">
        <f t="shared" si="8"/>
        <v>119.39000000000033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10314.84</v>
      </c>
      <c r="F13" s="171">
        <v>8349.79</v>
      </c>
      <c r="G13" s="109">
        <f t="shared" si="0"/>
        <v>-1965.0499999999993</v>
      </c>
      <c r="H13" s="32">
        <f t="shared" si="3"/>
        <v>80.94929247569522</v>
      </c>
      <c r="I13" s="110">
        <f t="shared" si="4"/>
        <v>-4050.209999999999</v>
      </c>
      <c r="J13" s="110">
        <f t="shared" si="5"/>
        <v>67.33701612903226</v>
      </c>
      <c r="K13" s="112">
        <v>6098.87</v>
      </c>
      <c r="L13" s="112">
        <f t="shared" si="1"/>
        <v>2250.920000000001</v>
      </c>
      <c r="M13" s="252">
        <f t="shared" si="2"/>
        <v>1.3690716476986722</v>
      </c>
      <c r="N13" s="111">
        <f>E13-вересень!E13</f>
        <v>650</v>
      </c>
      <c r="O13" s="179">
        <f>F13-вересень!F13</f>
        <v>838.5400000000009</v>
      </c>
      <c r="P13" s="112">
        <f t="shared" si="6"/>
        <v>188.54000000000087</v>
      </c>
      <c r="Q13" s="198">
        <f t="shared" si="7"/>
        <v>129.00615384615398</v>
      </c>
      <c r="R13" s="42"/>
      <c r="S13" s="100"/>
      <c r="T13" s="186">
        <f t="shared" si="8"/>
        <v>2085.16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3463.04</v>
      </c>
      <c r="F14" s="171">
        <v>2743.99</v>
      </c>
      <c r="G14" s="109">
        <f t="shared" si="0"/>
        <v>-719.0500000000002</v>
      </c>
      <c r="H14" s="32">
        <f t="shared" si="3"/>
        <v>79.23645121049712</v>
      </c>
      <c r="I14" s="110">
        <f t="shared" si="4"/>
        <v>-736.0100000000002</v>
      </c>
      <c r="J14" s="110">
        <f t="shared" si="5"/>
        <v>78.85028735632183</v>
      </c>
      <c r="K14" s="112">
        <v>7562.97</v>
      </c>
      <c r="L14" s="112">
        <f t="shared" si="1"/>
        <v>-4818.9800000000005</v>
      </c>
      <c r="M14" s="252">
        <f t="shared" si="2"/>
        <v>0.3628191041350157</v>
      </c>
      <c r="N14" s="111">
        <f>E14-вересень!E14</f>
        <v>15</v>
      </c>
      <c r="O14" s="179">
        <f>F14-вересень!F14</f>
        <v>105.07999999999993</v>
      </c>
      <c r="P14" s="112">
        <f t="shared" si="6"/>
        <v>90.07999999999993</v>
      </c>
      <c r="Q14" s="198">
        <f t="shared" si="7"/>
        <v>700.5333333333328</v>
      </c>
      <c r="R14" s="42"/>
      <c r="S14" s="100"/>
      <c r="T14" s="186">
        <f t="shared" si="8"/>
        <v>16.960000000000036</v>
      </c>
      <c r="U14" s="273">
        <v>2880</v>
      </c>
      <c r="V14" s="186">
        <f>U14-T14</f>
        <v>2863.04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380</v>
      </c>
      <c r="F15" s="196">
        <v>386.82</v>
      </c>
      <c r="G15" s="190">
        <f t="shared" si="0"/>
        <v>6.819999999999993</v>
      </c>
      <c r="H15" s="197">
        <f>F15/E15*100</f>
        <v>101.79473684210527</v>
      </c>
      <c r="I15" s="198">
        <f t="shared" si="4"/>
        <v>-113.18</v>
      </c>
      <c r="J15" s="198">
        <f t="shared" si="5"/>
        <v>77.364</v>
      </c>
      <c r="K15" s="201">
        <v>-590.87</v>
      </c>
      <c r="L15" s="201">
        <f t="shared" si="1"/>
        <v>977.69</v>
      </c>
      <c r="M15" s="253">
        <f t="shared" si="2"/>
        <v>-0.6546617699324725</v>
      </c>
      <c r="N15" s="197">
        <f>E15-вересень!E15</f>
        <v>10</v>
      </c>
      <c r="O15" s="200">
        <f>F15-вересень!F15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120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E16-вересень!E16</f>
        <v>0</v>
      </c>
      <c r="O16" s="200">
        <f>F16-вересень!F16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E17-вересень!E17</f>
        <v>0</v>
      </c>
      <c r="O17" s="200">
        <f>F17-вересень!F17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E18-вересень!E18</f>
        <v>0</v>
      </c>
      <c r="O18" s="200">
        <f>F18-вересень!F18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90960.4</v>
      </c>
      <c r="F19" s="196">
        <v>83630.43</v>
      </c>
      <c r="G19" s="190">
        <f t="shared" si="0"/>
        <v>-7329.970000000001</v>
      </c>
      <c r="H19" s="197">
        <f t="shared" si="3"/>
        <v>91.94158117158675</v>
      </c>
      <c r="I19" s="198">
        <f t="shared" si="4"/>
        <v>-26269.570000000007</v>
      </c>
      <c r="J19" s="198">
        <f t="shared" si="5"/>
        <v>76.09684258416742</v>
      </c>
      <c r="K19" s="209">
        <v>58485.05</v>
      </c>
      <c r="L19" s="201">
        <f t="shared" si="1"/>
        <v>25145.37999999999</v>
      </c>
      <c r="M19" s="259">
        <f t="shared" si="2"/>
        <v>1.429945430498905</v>
      </c>
      <c r="N19" s="197">
        <f>E19-вересень!E19</f>
        <v>10900</v>
      </c>
      <c r="O19" s="200">
        <f>F19-вересень!F19</f>
        <v>9277.62999999999</v>
      </c>
      <c r="P19" s="201">
        <f t="shared" si="6"/>
        <v>-1622.37000000001</v>
      </c>
      <c r="Q19" s="198">
        <f aca="true" t="shared" si="9" ref="Q19:Q24">O19/N19*100</f>
        <v>85.11587155963294</v>
      </c>
      <c r="R19" s="113"/>
      <c r="S19" s="114"/>
      <c r="T19" s="186">
        <f t="shared" si="8"/>
        <v>18939.600000000006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275106.06</v>
      </c>
      <c r="F20" s="272">
        <f>F21+F29+F30+F31+F32</f>
        <v>282212.75</v>
      </c>
      <c r="G20" s="190">
        <f t="shared" si="0"/>
        <v>7106.690000000002</v>
      </c>
      <c r="H20" s="197">
        <f t="shared" si="3"/>
        <v>102.58325461823705</v>
      </c>
      <c r="I20" s="198">
        <f t="shared" si="4"/>
        <v>-33763.90000000002</v>
      </c>
      <c r="J20" s="198">
        <f t="shared" si="5"/>
        <v>89.31443193666367</v>
      </c>
      <c r="K20" s="198">
        <v>182815.03</v>
      </c>
      <c r="L20" s="201">
        <f t="shared" si="1"/>
        <v>99397.72</v>
      </c>
      <c r="M20" s="254">
        <f t="shared" si="2"/>
        <v>1.5437064994054372</v>
      </c>
      <c r="N20" s="197">
        <f>N21+N30+N31+N32</f>
        <v>28870.120000000003</v>
      </c>
      <c r="O20" s="200">
        <f>F20-вересень!F20</f>
        <v>34346.080000000016</v>
      </c>
      <c r="P20" s="201">
        <f t="shared" si="6"/>
        <v>5475.960000000014</v>
      </c>
      <c r="Q20" s="198">
        <f t="shared" si="9"/>
        <v>118.96756923767553</v>
      </c>
      <c r="R20" s="113"/>
      <c r="S20" s="114"/>
      <c r="T20" s="186">
        <f t="shared" si="8"/>
        <v>40870.590000000026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149443.41</v>
      </c>
      <c r="F21" s="211">
        <f>F22+F25+F26</f>
        <v>153656.32</v>
      </c>
      <c r="G21" s="190">
        <f t="shared" si="0"/>
        <v>4212.9100000000035</v>
      </c>
      <c r="H21" s="197">
        <f t="shared" si="3"/>
        <v>102.81906709703694</v>
      </c>
      <c r="I21" s="198">
        <f t="shared" si="4"/>
        <v>-21243.329999999987</v>
      </c>
      <c r="J21" s="198">
        <f t="shared" si="5"/>
        <v>87.85398941621668</v>
      </c>
      <c r="K21" s="198">
        <v>100774.79</v>
      </c>
      <c r="L21" s="201">
        <f t="shared" si="1"/>
        <v>52881.53000000001</v>
      </c>
      <c r="M21" s="254">
        <f t="shared" si="2"/>
        <v>1.5247495926312524</v>
      </c>
      <c r="N21" s="197">
        <f>N22+N25+N26</f>
        <v>15362.620000000003</v>
      </c>
      <c r="O21" s="200">
        <f>F21-вересень!F21</f>
        <v>17840.51000000001</v>
      </c>
      <c r="P21" s="201">
        <f t="shared" si="6"/>
        <v>2477.8900000000067</v>
      </c>
      <c r="Q21" s="198">
        <f t="shared" si="9"/>
        <v>116.12934512472486</v>
      </c>
      <c r="R21" s="113"/>
      <c r="S21" s="114"/>
      <c r="T21" s="186">
        <f t="shared" si="8"/>
        <v>25456.23999999999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17324.4</v>
      </c>
      <c r="F22" s="213">
        <v>20221.39</v>
      </c>
      <c r="G22" s="212">
        <f t="shared" si="0"/>
        <v>2896.989999999998</v>
      </c>
      <c r="H22" s="214">
        <f t="shared" si="3"/>
        <v>116.72202211909213</v>
      </c>
      <c r="I22" s="215">
        <f t="shared" si="4"/>
        <v>1721.3899999999994</v>
      </c>
      <c r="J22" s="215">
        <f t="shared" si="5"/>
        <v>109.3048108108108</v>
      </c>
      <c r="K22" s="216">
        <v>12486.13</v>
      </c>
      <c r="L22" s="206">
        <f t="shared" si="1"/>
        <v>7735.26</v>
      </c>
      <c r="M22" s="262">
        <f t="shared" si="2"/>
        <v>1.619508206305717</v>
      </c>
      <c r="N22" s="214">
        <f>E22-вересень!E22</f>
        <v>2199.920000000002</v>
      </c>
      <c r="O22" s="217">
        <f>F22-вересень!F22</f>
        <v>4462.57</v>
      </c>
      <c r="P22" s="218">
        <f t="shared" si="6"/>
        <v>2262.649999999998</v>
      </c>
      <c r="Q22" s="215">
        <f t="shared" si="9"/>
        <v>202.8514673260844</v>
      </c>
      <c r="R22" s="113"/>
      <c r="S22" s="114"/>
      <c r="T22" s="186">
        <f t="shared" si="8"/>
        <v>1175.5999999999985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1224.4</v>
      </c>
      <c r="F23" s="203">
        <v>795.54</v>
      </c>
      <c r="G23" s="241">
        <f t="shared" si="0"/>
        <v>-428.8600000000001</v>
      </c>
      <c r="H23" s="242">
        <f t="shared" si="3"/>
        <v>64.97386475008167</v>
      </c>
      <c r="I23" s="243">
        <f t="shared" si="4"/>
        <v>-1204.46</v>
      </c>
      <c r="J23" s="243">
        <f t="shared" si="5"/>
        <v>39.776999999999994</v>
      </c>
      <c r="K23" s="261">
        <v>666.58</v>
      </c>
      <c r="L23" s="261">
        <f t="shared" si="1"/>
        <v>128.95999999999992</v>
      </c>
      <c r="M23" s="263">
        <f t="shared" si="2"/>
        <v>1.1934651504695608</v>
      </c>
      <c r="N23" s="239">
        <f>E23-вересень!E23</f>
        <v>200</v>
      </c>
      <c r="O23" s="239">
        <f>F23-вересень!F23</f>
        <v>126.68999999999994</v>
      </c>
      <c r="P23" s="240">
        <f t="shared" si="6"/>
        <v>-73.31000000000006</v>
      </c>
      <c r="Q23" s="240">
        <f t="shared" si="9"/>
        <v>63.34499999999997</v>
      </c>
      <c r="R23" s="113"/>
      <c r="S23" s="114"/>
      <c r="T23" s="186">
        <f t="shared" si="8"/>
        <v>775.5999999999999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16100</v>
      </c>
      <c r="F24" s="203">
        <v>19425.85</v>
      </c>
      <c r="G24" s="241">
        <f t="shared" si="0"/>
        <v>3325.8499999999985</v>
      </c>
      <c r="H24" s="242">
        <f t="shared" si="3"/>
        <v>120.65745341614907</v>
      </c>
      <c r="I24" s="243">
        <f t="shared" si="4"/>
        <v>2925.8499999999985</v>
      </c>
      <c r="J24" s="243">
        <f t="shared" si="5"/>
        <v>117.73242424242423</v>
      </c>
      <c r="K24" s="261">
        <v>11819.55</v>
      </c>
      <c r="L24" s="261">
        <f t="shared" si="1"/>
        <v>7606.299999999999</v>
      </c>
      <c r="M24" s="263">
        <f t="shared" si="2"/>
        <v>1.6435354983903787</v>
      </c>
      <c r="N24" s="239">
        <f>E24-вересень!E24</f>
        <v>1999.92</v>
      </c>
      <c r="O24" s="239">
        <f>F24-вересень!F24</f>
        <v>4335.879999999999</v>
      </c>
      <c r="P24" s="240">
        <f t="shared" si="6"/>
        <v>2335.959999999999</v>
      </c>
      <c r="Q24" s="240">
        <f t="shared" si="9"/>
        <v>216.80267210688422</v>
      </c>
      <c r="R24" s="113"/>
      <c r="S24" s="114"/>
      <c r="T24" s="186">
        <f t="shared" si="8"/>
        <v>400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810.29</v>
      </c>
      <c r="G25" s="212">
        <f t="shared" si="0"/>
        <v>-169.75</v>
      </c>
      <c r="H25" s="214">
        <f t="shared" si="3"/>
        <v>82.67927839680013</v>
      </c>
      <c r="I25" s="215">
        <f t="shared" si="4"/>
        <v>-189.71000000000004</v>
      </c>
      <c r="J25" s="215">
        <f t="shared" si="5"/>
        <v>81.029</v>
      </c>
      <c r="K25" s="215">
        <v>3493.96</v>
      </c>
      <c r="L25" s="215">
        <f t="shared" si="1"/>
        <v>-2683.67</v>
      </c>
      <c r="M25" s="257">
        <f t="shared" si="2"/>
        <v>0.2319116418047144</v>
      </c>
      <c r="N25" s="214">
        <f>E25-вересень!E25</f>
        <v>52.69999999999993</v>
      </c>
      <c r="O25" s="217">
        <f>F25-вересень!F25</f>
        <v>32.94999999999993</v>
      </c>
      <c r="P25" s="218">
        <f t="shared" si="6"/>
        <v>-19.75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131138.97</v>
      </c>
      <c r="F26" s="213">
        <v>132624.64</v>
      </c>
      <c r="G26" s="212">
        <f t="shared" si="0"/>
        <v>1485.6700000000128</v>
      </c>
      <c r="H26" s="214">
        <f t="shared" si="3"/>
        <v>101.13289741409439</v>
      </c>
      <c r="I26" s="215">
        <f t="shared" si="4"/>
        <v>-22775.00999999998</v>
      </c>
      <c r="J26" s="215">
        <f t="shared" si="5"/>
        <v>85.34423340078308</v>
      </c>
      <c r="K26" s="216">
        <v>84794.7</v>
      </c>
      <c r="L26" s="216">
        <f t="shared" si="1"/>
        <v>47829.94000000002</v>
      </c>
      <c r="M26" s="256">
        <f t="shared" si="2"/>
        <v>1.5640675655436014</v>
      </c>
      <c r="N26" s="214">
        <f>E26-вересень!E26</f>
        <v>13110</v>
      </c>
      <c r="O26" s="217">
        <f>F26-вересень!F26</f>
        <v>13344.99000000002</v>
      </c>
      <c r="P26" s="218">
        <f t="shared" si="6"/>
        <v>234.9900000000198</v>
      </c>
      <c r="Q26" s="215">
        <f>O26/N26*100</f>
        <v>101.79244851258595</v>
      </c>
      <c r="R26" s="113"/>
      <c r="S26" s="114"/>
      <c r="T26" s="186">
        <f t="shared" si="8"/>
        <v>24260.679999999993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40401.8</v>
      </c>
      <c r="F27" s="203">
        <v>42006.28</v>
      </c>
      <c r="G27" s="241">
        <f t="shared" si="0"/>
        <v>1604.479999999996</v>
      </c>
      <c r="H27" s="242">
        <f t="shared" si="3"/>
        <v>103.97130820904019</v>
      </c>
      <c r="I27" s="243">
        <f t="shared" si="4"/>
        <v>-5360.720000000001</v>
      </c>
      <c r="J27" s="243">
        <f t="shared" si="5"/>
        <v>88.6825849219921</v>
      </c>
      <c r="K27" s="261">
        <v>22986.34</v>
      </c>
      <c r="L27" s="261">
        <f t="shared" si="1"/>
        <v>19019.94</v>
      </c>
      <c r="M27" s="263">
        <f t="shared" si="2"/>
        <v>1.827445343625823</v>
      </c>
      <c r="N27" s="239">
        <f>E27-вересень!E27</f>
        <v>3520</v>
      </c>
      <c r="O27" s="239">
        <f>F27-вересень!F27</f>
        <v>4010.159999999996</v>
      </c>
      <c r="P27" s="240">
        <f t="shared" si="6"/>
        <v>490.1599999999962</v>
      </c>
      <c r="Q27" s="240">
        <f>O27/N27*100</f>
        <v>113.9249999999999</v>
      </c>
      <c r="R27" s="113"/>
      <c r="S27" s="114"/>
      <c r="T27" s="186">
        <f t="shared" si="8"/>
        <v>6965.199999999997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90737.17</v>
      </c>
      <c r="F28" s="203">
        <v>90618.36</v>
      </c>
      <c r="G28" s="241">
        <f t="shared" si="0"/>
        <v>-118.80999999999767</v>
      </c>
      <c r="H28" s="242">
        <f t="shared" si="3"/>
        <v>99.86906137804387</v>
      </c>
      <c r="I28" s="243">
        <f t="shared" si="4"/>
        <v>-17414.289999999994</v>
      </c>
      <c r="J28" s="243">
        <f t="shared" si="5"/>
        <v>83.88053056182552</v>
      </c>
      <c r="K28" s="261">
        <v>61808.36</v>
      </c>
      <c r="L28" s="261">
        <f t="shared" si="1"/>
        <v>28810</v>
      </c>
      <c r="M28" s="263">
        <f t="shared" si="2"/>
        <v>1.4661181755995467</v>
      </c>
      <c r="N28" s="239">
        <f>E28-вересень!E28</f>
        <v>9590</v>
      </c>
      <c r="O28" s="239">
        <f>F28-вересень!F28</f>
        <v>9334.839999999997</v>
      </c>
      <c r="P28" s="240">
        <f t="shared" si="6"/>
        <v>-255.1600000000035</v>
      </c>
      <c r="Q28" s="240">
        <f>O28/N28*100</f>
        <v>97.33931178310736</v>
      </c>
      <c r="R28" s="113"/>
      <c r="S28" s="114"/>
      <c r="T28" s="186">
        <f t="shared" si="8"/>
        <v>17295.479999999996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E29-вересень!E29</f>
        <v>0</v>
      </c>
      <c r="O29" s="200">
        <f>F29-вересень!F29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62.81</v>
      </c>
      <c r="F30" s="196">
        <v>96.18</v>
      </c>
      <c r="G30" s="190">
        <f t="shared" si="0"/>
        <v>33.370000000000005</v>
      </c>
      <c r="H30" s="197">
        <f t="shared" si="3"/>
        <v>153.1284827256806</v>
      </c>
      <c r="I30" s="198">
        <f t="shared" si="4"/>
        <v>19.180000000000007</v>
      </c>
      <c r="J30" s="198">
        <f t="shared" si="5"/>
        <v>124.90909090909092</v>
      </c>
      <c r="K30" s="198">
        <v>60.64</v>
      </c>
      <c r="L30" s="198">
        <f t="shared" si="1"/>
        <v>35.540000000000006</v>
      </c>
      <c r="M30" s="255">
        <f>F30/K30</f>
        <v>1.5860817941952507</v>
      </c>
      <c r="N30" s="197">
        <f>E30-вересень!E30</f>
        <v>7.5</v>
      </c>
      <c r="O30" s="200">
        <f>F30-вересень!F30</f>
        <v>8.230000000000004</v>
      </c>
      <c r="P30" s="201">
        <f t="shared" si="6"/>
        <v>0.730000000000004</v>
      </c>
      <c r="Q30" s="198">
        <f>O30/N30*100</f>
        <v>109.73333333333339</v>
      </c>
      <c r="R30" s="113"/>
      <c r="S30" s="114"/>
      <c r="T30" s="186">
        <f t="shared" si="8"/>
        <v>14.189999999999998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-173.07</v>
      </c>
      <c r="G31" s="190">
        <f t="shared" si="0"/>
        <v>-173.07</v>
      </c>
      <c r="H31" s="197"/>
      <c r="I31" s="198">
        <f t="shared" si="4"/>
        <v>-173.07</v>
      </c>
      <c r="J31" s="198"/>
      <c r="K31" s="198">
        <v>-740.94</v>
      </c>
      <c r="L31" s="198">
        <f t="shared" si="1"/>
        <v>567.8700000000001</v>
      </c>
      <c r="M31" s="255">
        <f>F31/K31</f>
        <v>0.23358166653170295</v>
      </c>
      <c r="N31" s="197">
        <f>E31-вересень!E31</f>
        <v>0</v>
      </c>
      <c r="O31" s="200">
        <f>F31-вересень!F31</f>
        <v>-12.969999999999999</v>
      </c>
      <c r="P31" s="201">
        <f t="shared" si="6"/>
        <v>-12.969999999999999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125599.84</v>
      </c>
      <c r="F32" s="203">
        <v>128633.17</v>
      </c>
      <c r="G32" s="202">
        <f t="shared" si="0"/>
        <v>3033.3300000000017</v>
      </c>
      <c r="H32" s="204">
        <f t="shared" si="3"/>
        <v>102.41507473257927</v>
      </c>
      <c r="I32" s="205">
        <f t="shared" si="4"/>
        <v>-12366.830000000002</v>
      </c>
      <c r="J32" s="205">
        <f t="shared" si="5"/>
        <v>91.22919858156028</v>
      </c>
      <c r="K32" s="219">
        <v>82720.54</v>
      </c>
      <c r="L32" s="219">
        <f>F32-K32</f>
        <v>45912.630000000005</v>
      </c>
      <c r="M32" s="411">
        <f>F32/K32</f>
        <v>1.5550330063125797</v>
      </c>
      <c r="N32" s="197">
        <f>E32-вересень!E32</f>
        <v>13500</v>
      </c>
      <c r="O32" s="200">
        <f>F32-вересень!F32</f>
        <v>16510.309999999998</v>
      </c>
      <c r="P32" s="207">
        <f t="shared" si="6"/>
        <v>3010.3099999999977</v>
      </c>
      <c r="Q32" s="205">
        <f>O32/N32*100</f>
        <v>122.29859259259257</v>
      </c>
      <c r="R32" s="113"/>
      <c r="S32" s="114"/>
      <c r="T32" s="186">
        <f t="shared" si="8"/>
        <v>15400.160000000003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E33-вересень!E33</f>
        <v>0</v>
      </c>
      <c r="O33" s="179">
        <f>F33-вересень!F33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30662.97</v>
      </c>
      <c r="F34" s="171">
        <v>31576.04</v>
      </c>
      <c r="G34" s="109">
        <f t="shared" si="0"/>
        <v>913.0699999999997</v>
      </c>
      <c r="H34" s="111">
        <f t="shared" si="3"/>
        <v>102.97776112359631</v>
      </c>
      <c r="I34" s="110">
        <f t="shared" si="4"/>
        <v>-2640.959999999999</v>
      </c>
      <c r="J34" s="110">
        <f t="shared" si="5"/>
        <v>92.2817313031534</v>
      </c>
      <c r="K34" s="142">
        <v>19963.33</v>
      </c>
      <c r="L34" s="142">
        <f t="shared" si="1"/>
        <v>11612.71</v>
      </c>
      <c r="M34" s="264">
        <f t="shared" si="10"/>
        <v>1.5817020507099766</v>
      </c>
      <c r="N34" s="111">
        <f>E34-вересень!E34</f>
        <v>2300</v>
      </c>
      <c r="O34" s="179">
        <f>F34-вересень!F34</f>
        <v>3235.630000000001</v>
      </c>
      <c r="P34" s="112">
        <f t="shared" si="6"/>
        <v>935.630000000001</v>
      </c>
      <c r="Q34" s="110">
        <f>O34/N34*100</f>
        <v>140.67956521739134</v>
      </c>
      <c r="R34" s="113"/>
      <c r="S34" s="114"/>
      <c r="T34" s="186">
        <f t="shared" si="8"/>
        <v>3554.029999999999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94920.08</v>
      </c>
      <c r="F35" s="171">
        <v>97003.82</v>
      </c>
      <c r="G35" s="109">
        <f t="shared" si="0"/>
        <v>2083.7400000000052</v>
      </c>
      <c r="H35" s="111">
        <f t="shared" si="3"/>
        <v>102.19525731541736</v>
      </c>
      <c r="I35" s="110">
        <f t="shared" si="4"/>
        <v>-9728.179999999993</v>
      </c>
      <c r="J35" s="110">
        <f t="shared" si="5"/>
        <v>90.88541393396545</v>
      </c>
      <c r="K35" s="142">
        <v>62729.49</v>
      </c>
      <c r="L35" s="142">
        <f t="shared" si="1"/>
        <v>34274.33000000001</v>
      </c>
      <c r="M35" s="264">
        <f t="shared" si="10"/>
        <v>1.5463830488658525</v>
      </c>
      <c r="N35" s="111">
        <f>E35-вересень!E35</f>
        <v>11200</v>
      </c>
      <c r="O35" s="179">
        <f>F35-вересень!F35</f>
        <v>13248.020000000004</v>
      </c>
      <c r="P35" s="112">
        <f t="shared" si="6"/>
        <v>2048.020000000004</v>
      </c>
      <c r="Q35" s="110">
        <f>O35/N35*100</f>
        <v>118.28589285714288</v>
      </c>
      <c r="R35" s="113"/>
      <c r="S35" s="114"/>
      <c r="T35" s="186">
        <f t="shared" si="8"/>
        <v>11811.919999999998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53.08</v>
      </c>
      <c r="G36" s="109">
        <f t="shared" si="0"/>
        <v>36.29</v>
      </c>
      <c r="H36" s="111">
        <f t="shared" si="3"/>
        <v>316.1405598570578</v>
      </c>
      <c r="I36" s="110">
        <f t="shared" si="4"/>
        <v>2.0799999999999983</v>
      </c>
      <c r="J36" s="110">
        <f t="shared" si="5"/>
        <v>104.07843137254902</v>
      </c>
      <c r="K36" s="142">
        <v>28.89</v>
      </c>
      <c r="L36" s="142">
        <f t="shared" si="1"/>
        <v>24.189999999999998</v>
      </c>
      <c r="M36" s="264">
        <f t="shared" si="10"/>
        <v>1.837313949463482</v>
      </c>
      <c r="N36" s="111">
        <f>E36-вересень!E36</f>
        <v>0</v>
      </c>
      <c r="O36" s="179">
        <f>F36-вересень!F36</f>
        <v>26.659999999999997</v>
      </c>
      <c r="P36" s="112">
        <f t="shared" si="6"/>
        <v>26.659999999999997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5585.75</v>
      </c>
      <c r="L37" s="132">
        <f t="shared" si="1"/>
        <v>-5585.75</v>
      </c>
      <c r="M37" s="265">
        <f t="shared" si="10"/>
        <v>0</v>
      </c>
      <c r="N37" s="152">
        <f>E37-вересень!E37</f>
        <v>0</v>
      </c>
      <c r="O37" s="180">
        <f>F37-вересень!F37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55295.03</v>
      </c>
      <c r="F38" s="191">
        <f>F39+F40+F41+F42+F43+F45+F47+F48+F49+F50+F51+F56+F57+F61+F44</f>
        <v>55017.729999999996</v>
      </c>
      <c r="G38" s="191">
        <f>G39+G40+G41+G42+G43+G45+G47+G48+G49+G50+G51+G56+G57+G61</f>
        <v>-311.2500000000012</v>
      </c>
      <c r="H38" s="192">
        <f>F38/E38*100</f>
        <v>99.49850827461346</v>
      </c>
      <c r="I38" s="193">
        <f>F38-D38</f>
        <v>-6824.750000000007</v>
      </c>
      <c r="J38" s="193">
        <f>F38/D38*100</f>
        <v>88.9643009141936</v>
      </c>
      <c r="K38" s="191">
        <v>35081.67</v>
      </c>
      <c r="L38" s="191">
        <f t="shared" si="1"/>
        <v>19936.059999999998</v>
      </c>
      <c r="M38" s="250">
        <f t="shared" si="10"/>
        <v>1.5682756835692258</v>
      </c>
      <c r="N38" s="191">
        <f>N39+N40+N41+N42+N43+N45+N47+N48+N49+N50+N51+N56+N57+N61+N44</f>
        <v>6170</v>
      </c>
      <c r="O38" s="191">
        <f>O39+O40+O41+O42+O43+O45+O47+O48+O49+O50+O51+O56+O57+O61+O44</f>
        <v>5570.8399999999965</v>
      </c>
      <c r="P38" s="191">
        <f>P39+P40+P41+P42+P43+P45+P47+P48+P49+P50+P51+P56+P57+P61</f>
        <v>-605.960000000003</v>
      </c>
      <c r="Q38" s="191">
        <f>O38/N38*100</f>
        <v>90.28914100486219</v>
      </c>
      <c r="R38" s="15" t="e">
        <f>#N/A</f>
        <v>#N/A</v>
      </c>
      <c r="S38" s="15" t="e">
        <f>#N/A</f>
        <v>#N/A</v>
      </c>
      <c r="T38" s="186">
        <f t="shared" si="8"/>
        <v>6547.450000000004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386</v>
      </c>
      <c r="F39" s="196">
        <v>484.83</v>
      </c>
      <c r="G39" s="202">
        <f>F39-E39</f>
        <v>98.82999999999998</v>
      </c>
      <c r="H39" s="204">
        <f aca="true" t="shared" si="11" ref="H39:H62">F39/E39*100</f>
        <v>125.60362694300518</v>
      </c>
      <c r="I39" s="205">
        <f>F39-D39</f>
        <v>84.82999999999998</v>
      </c>
      <c r="J39" s="205">
        <f>F39/D39*100</f>
        <v>121.2075</v>
      </c>
      <c r="K39" s="205">
        <v>-57.79</v>
      </c>
      <c r="L39" s="205">
        <f t="shared" si="1"/>
        <v>542.62</v>
      </c>
      <c r="M39" s="266">
        <f t="shared" si="10"/>
        <v>-8.389513756705313</v>
      </c>
      <c r="N39" s="204">
        <f>E39-вересень!E39</f>
        <v>3</v>
      </c>
      <c r="O39" s="208">
        <f>F39-вересень!F39</f>
        <v>63.94999999999999</v>
      </c>
      <c r="P39" s="207">
        <f>O39-N39</f>
        <v>60.94999999999999</v>
      </c>
      <c r="Q39" s="205">
        <f aca="true" t="shared" si="12" ref="Q39:Q62">O39/N39*100</f>
        <v>2131.666666666666</v>
      </c>
      <c r="R39" s="42"/>
      <c r="S39" s="100"/>
      <c r="T39" s="186">
        <f t="shared" si="8"/>
        <v>14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27766</v>
      </c>
      <c r="F40" s="196">
        <v>27670.12</v>
      </c>
      <c r="G40" s="202">
        <f aca="true" t="shared" si="13" ref="G40:G63">F40-E40</f>
        <v>-95.88000000000102</v>
      </c>
      <c r="H40" s="204">
        <f t="shared" si="11"/>
        <v>99.65468558668876</v>
      </c>
      <c r="I40" s="205">
        <f aca="true" t="shared" si="14" ref="I40:I63">F40-D40</f>
        <v>-2336.880000000001</v>
      </c>
      <c r="J40" s="205">
        <f>F40/D40*100</f>
        <v>92.21221714933182</v>
      </c>
      <c r="K40" s="205">
        <v>8434.93</v>
      </c>
      <c r="L40" s="205">
        <f t="shared" si="1"/>
        <v>19235.19</v>
      </c>
      <c r="M40" s="266"/>
      <c r="N40" s="204">
        <f>E40-вересень!E40</f>
        <v>3600</v>
      </c>
      <c r="O40" s="208">
        <f>F40-вересень!F40</f>
        <v>3503.989999999998</v>
      </c>
      <c r="P40" s="207">
        <f aca="true" t="shared" si="15" ref="P40:P63">O40-N40</f>
        <v>-96.01000000000204</v>
      </c>
      <c r="Q40" s="205">
        <f t="shared" si="12"/>
        <v>97.3330555555555</v>
      </c>
      <c r="R40" s="42"/>
      <c r="S40" s="100"/>
      <c r="T40" s="186">
        <f t="shared" si="8"/>
        <v>2241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349.81</v>
      </c>
      <c r="L41" s="205">
        <f t="shared" si="1"/>
        <v>-317.83</v>
      </c>
      <c r="M41" s="266">
        <f aca="true" t="shared" si="17" ref="M41:M63">F41/K41</f>
        <v>0.09142105714530745</v>
      </c>
      <c r="N41" s="204">
        <f>E41-вересень!E41</f>
        <v>0</v>
      </c>
      <c r="O41" s="208">
        <f>F41-вересень!F41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E42-вересень!E42</f>
        <v>0</v>
      </c>
      <c r="O42" s="208">
        <f>F42-вересень!F42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100</v>
      </c>
      <c r="F43" s="196">
        <v>207.68</v>
      </c>
      <c r="G43" s="202">
        <f t="shared" si="13"/>
        <v>107.68</v>
      </c>
      <c r="H43" s="204">
        <f t="shared" si="11"/>
        <v>207.68</v>
      </c>
      <c r="I43" s="205">
        <f t="shared" si="14"/>
        <v>57.68000000000001</v>
      </c>
      <c r="J43" s="205">
        <f t="shared" si="16"/>
        <v>138.45333333333335</v>
      </c>
      <c r="K43" s="205">
        <v>255.87</v>
      </c>
      <c r="L43" s="205">
        <f t="shared" si="1"/>
        <v>-48.19</v>
      </c>
      <c r="M43" s="266">
        <f t="shared" si="17"/>
        <v>0.8116621721968187</v>
      </c>
      <c r="N43" s="204">
        <f>E43-вересень!E43</f>
        <v>10</v>
      </c>
      <c r="O43" s="208">
        <f>F43-вересень!F43</f>
        <v>10.560000000000002</v>
      </c>
      <c r="P43" s="207">
        <f t="shared" si="15"/>
        <v>0.5600000000000023</v>
      </c>
      <c r="Q43" s="205">
        <f t="shared" si="12"/>
        <v>105.60000000000002</v>
      </c>
      <c r="R43" s="42"/>
      <c r="S43" s="100"/>
      <c r="T43" s="186">
        <f t="shared" si="8"/>
        <v>50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47.95</v>
      </c>
      <c r="G44" s="202">
        <f t="shared" si="13"/>
        <v>33.95</v>
      </c>
      <c r="H44" s="204"/>
      <c r="I44" s="205">
        <f t="shared" si="14"/>
        <v>33.95</v>
      </c>
      <c r="J44" s="205"/>
      <c r="K44" s="205">
        <v>0</v>
      </c>
      <c r="L44" s="205">
        <f t="shared" si="1"/>
        <v>47.95</v>
      </c>
      <c r="M44" s="266" t="e">
        <f t="shared" si="17"/>
        <v>#DIV/0!</v>
      </c>
      <c r="N44" s="204">
        <f>E44-вересень!E44</f>
        <v>0</v>
      </c>
      <c r="O44" s="208">
        <f>F44-вересень!F44</f>
        <v>6.800000000000004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272</v>
      </c>
      <c r="F45" s="196">
        <v>531.02</v>
      </c>
      <c r="G45" s="202">
        <f t="shared" si="13"/>
        <v>259.02</v>
      </c>
      <c r="H45" s="204">
        <f t="shared" si="11"/>
        <v>195.22794117647058</v>
      </c>
      <c r="I45" s="205">
        <f t="shared" si="14"/>
        <v>231.01999999999998</v>
      </c>
      <c r="J45" s="205">
        <f t="shared" si="16"/>
        <v>177.00666666666666</v>
      </c>
      <c r="K45" s="205">
        <v>0</v>
      </c>
      <c r="L45" s="205">
        <f t="shared" si="1"/>
        <v>531.02</v>
      </c>
      <c r="M45" s="266"/>
      <c r="N45" s="204">
        <f>E45-вересень!E45</f>
        <v>8</v>
      </c>
      <c r="O45" s="208">
        <f>F45-вересень!F45</f>
        <v>102.38999999999999</v>
      </c>
      <c r="P45" s="207">
        <f t="shared" si="15"/>
        <v>94.38999999999999</v>
      </c>
      <c r="Q45" s="205">
        <f t="shared" si="12"/>
        <v>1279.8749999999998</v>
      </c>
      <c r="R45" s="42"/>
      <c r="S45" s="100"/>
      <c r="T45" s="186">
        <f t="shared" si="8"/>
        <v>28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E46-вересень!E46</f>
        <v>0</v>
      </c>
      <c r="O46" s="208">
        <f>F46-вересень!F46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8749.02</v>
      </c>
      <c r="F47" s="196">
        <v>8876.24</v>
      </c>
      <c r="G47" s="202">
        <f t="shared" si="13"/>
        <v>127.21999999999935</v>
      </c>
      <c r="H47" s="204">
        <f t="shared" si="11"/>
        <v>101.45410571698315</v>
      </c>
      <c r="I47" s="205">
        <f t="shared" si="14"/>
        <v>-1023.7600000000002</v>
      </c>
      <c r="J47" s="205">
        <f t="shared" si="16"/>
        <v>89.65898989898989</v>
      </c>
      <c r="K47" s="205">
        <v>8383.7</v>
      </c>
      <c r="L47" s="205">
        <f t="shared" si="1"/>
        <v>492.53999999999905</v>
      </c>
      <c r="M47" s="266">
        <f t="shared" si="17"/>
        <v>1.0587497167121913</v>
      </c>
      <c r="N47" s="204">
        <f>E47-вересень!E47</f>
        <v>900</v>
      </c>
      <c r="O47" s="208">
        <f>F47-вересень!F47</f>
        <v>808.5</v>
      </c>
      <c r="P47" s="207">
        <f t="shared" si="15"/>
        <v>-91.5</v>
      </c>
      <c r="Q47" s="205">
        <f t="shared" si="12"/>
        <v>89.83333333333333</v>
      </c>
      <c r="R47" s="42"/>
      <c r="S47" s="100"/>
      <c r="T47" s="186">
        <f t="shared" si="8"/>
        <v>1150.9799999999996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246.53</v>
      </c>
      <c r="G48" s="202">
        <f t="shared" si="13"/>
        <v>-403.47</v>
      </c>
      <c r="H48" s="204">
        <f t="shared" si="11"/>
        <v>37.927692307692304</v>
      </c>
      <c r="I48" s="205">
        <f t="shared" si="14"/>
        <v>-403.47</v>
      </c>
      <c r="J48" s="205">
        <f t="shared" si="16"/>
        <v>37.927692307692304</v>
      </c>
      <c r="K48" s="205">
        <v>0</v>
      </c>
      <c r="L48" s="205">
        <f t="shared" si="1"/>
        <v>246.53</v>
      </c>
      <c r="M48" s="266"/>
      <c r="N48" s="204">
        <f>E48-вересень!E48</f>
        <v>0</v>
      </c>
      <c r="O48" s="208">
        <f>F48-вересень!F48</f>
        <v>36.41</v>
      </c>
      <c r="P48" s="207">
        <f t="shared" si="15"/>
        <v>36.41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36</v>
      </c>
      <c r="F49" s="196">
        <v>16.96</v>
      </c>
      <c r="G49" s="202">
        <f t="shared" si="13"/>
        <v>-19.04</v>
      </c>
      <c r="H49" s="204">
        <f t="shared" si="11"/>
        <v>47.111111111111114</v>
      </c>
      <c r="I49" s="205">
        <f t="shared" si="14"/>
        <v>-33.04</v>
      </c>
      <c r="J49" s="205">
        <f t="shared" si="16"/>
        <v>33.92</v>
      </c>
      <c r="K49" s="205">
        <v>0</v>
      </c>
      <c r="L49" s="205">
        <f t="shared" si="1"/>
        <v>16.96</v>
      </c>
      <c r="M49" s="266"/>
      <c r="N49" s="204">
        <f>E49-вересень!E49</f>
        <v>4</v>
      </c>
      <c r="O49" s="208">
        <f>F49-вересень!F49</f>
        <v>0.28000000000000114</v>
      </c>
      <c r="P49" s="207">
        <f t="shared" si="15"/>
        <v>-3.719999999999999</v>
      </c>
      <c r="Q49" s="205">
        <f t="shared" si="12"/>
        <v>7.000000000000028</v>
      </c>
      <c r="R49" s="42"/>
      <c r="S49" s="100"/>
      <c r="T49" s="186">
        <f t="shared" si="8"/>
        <v>14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6566.23</v>
      </c>
      <c r="F50" s="196">
        <v>6193.94</v>
      </c>
      <c r="G50" s="202">
        <f t="shared" si="13"/>
        <v>-372.28999999999996</v>
      </c>
      <c r="H50" s="204">
        <f t="shared" si="11"/>
        <v>94.33023211188156</v>
      </c>
      <c r="I50" s="205">
        <f t="shared" si="14"/>
        <v>-1806.0600000000004</v>
      </c>
      <c r="J50" s="205">
        <f t="shared" si="16"/>
        <v>77.42425</v>
      </c>
      <c r="K50" s="205">
        <v>7492.82</v>
      </c>
      <c r="L50" s="205">
        <f t="shared" si="1"/>
        <v>-1298.88</v>
      </c>
      <c r="M50" s="266">
        <f t="shared" si="17"/>
        <v>0.8266500463110017</v>
      </c>
      <c r="N50" s="204">
        <f>E50-вересень!E50</f>
        <v>650</v>
      </c>
      <c r="O50" s="208">
        <f>F50-вересень!F50</f>
        <v>568.7199999999993</v>
      </c>
      <c r="P50" s="207">
        <f t="shared" si="15"/>
        <v>-81.28000000000065</v>
      </c>
      <c r="Q50" s="205">
        <f t="shared" si="12"/>
        <v>87.49538461538452</v>
      </c>
      <c r="R50" s="42"/>
      <c r="S50" s="100"/>
      <c r="T50" s="186">
        <f t="shared" si="8"/>
        <v>1433.7700000000004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5466.19</v>
      </c>
      <c r="F51" s="196">
        <v>5010.53</v>
      </c>
      <c r="G51" s="202">
        <f t="shared" si="13"/>
        <v>-455.65999999999985</v>
      </c>
      <c r="H51" s="204">
        <f t="shared" si="11"/>
        <v>91.66402924157411</v>
      </c>
      <c r="I51" s="205">
        <f t="shared" si="14"/>
        <v>-1989.5100000000002</v>
      </c>
      <c r="J51" s="205">
        <f t="shared" si="16"/>
        <v>71.57859097948011</v>
      </c>
      <c r="K51" s="205">
        <v>6187.55</v>
      </c>
      <c r="L51" s="205">
        <f t="shared" si="1"/>
        <v>-1177.0200000000004</v>
      </c>
      <c r="M51" s="266">
        <f t="shared" si="17"/>
        <v>0.8097760826175141</v>
      </c>
      <c r="N51" s="204">
        <f>E51-вересень!E51</f>
        <v>555</v>
      </c>
      <c r="O51" s="208">
        <f>F51-вересень!F51</f>
        <v>84.90999999999985</v>
      </c>
      <c r="P51" s="207">
        <f t="shared" si="15"/>
        <v>-470.09000000000015</v>
      </c>
      <c r="Q51" s="205">
        <f t="shared" si="12"/>
        <v>15.299099099099072</v>
      </c>
      <c r="R51" s="42"/>
      <c r="S51" s="100"/>
      <c r="T51" s="186">
        <f t="shared" si="8"/>
        <v>1533.8500000000004</v>
      </c>
    </row>
    <row r="52" spans="1:20" s="6" customFormat="1" ht="15">
      <c r="A52" s="8"/>
      <c r="B52" s="55" t="s">
        <v>101</v>
      </c>
      <c r="C52" s="138">
        <v>22090100</v>
      </c>
      <c r="D52" s="109">
        <v>970</v>
      </c>
      <c r="E52" s="109">
        <v>738.99</v>
      </c>
      <c r="F52" s="171">
        <v>702.3</v>
      </c>
      <c r="G52" s="36">
        <f t="shared" si="13"/>
        <v>-36.690000000000055</v>
      </c>
      <c r="H52" s="32">
        <f t="shared" si="11"/>
        <v>95.03511549547355</v>
      </c>
      <c r="I52" s="110">
        <f t="shared" si="14"/>
        <v>-267.70000000000005</v>
      </c>
      <c r="J52" s="110">
        <f t="shared" si="16"/>
        <v>72.4020618556701</v>
      </c>
      <c r="K52" s="110">
        <v>883.77</v>
      </c>
      <c r="L52" s="110">
        <f>F52-K52</f>
        <v>-181.47000000000003</v>
      </c>
      <c r="M52" s="115">
        <f t="shared" si="17"/>
        <v>0.7946637699854034</v>
      </c>
      <c r="N52" s="111">
        <f>E52-вересень!E52</f>
        <v>55</v>
      </c>
      <c r="O52" s="179">
        <f>F52-вересень!F52</f>
        <v>59.18999999999994</v>
      </c>
      <c r="P52" s="112">
        <f t="shared" si="15"/>
        <v>4.189999999999941</v>
      </c>
      <c r="Q52" s="132">
        <f t="shared" si="12"/>
        <v>107.6181818181817</v>
      </c>
      <c r="R52" s="42"/>
      <c r="S52" s="100"/>
      <c r="T52" s="186">
        <f t="shared" si="8"/>
        <v>231.01</v>
      </c>
    </row>
    <row r="53" spans="1:20" s="6" customFormat="1" ht="15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44.11</v>
      </c>
      <c r="L53" s="110">
        <f>F53-K53</f>
        <v>-43.82</v>
      </c>
      <c r="M53" s="115">
        <f t="shared" si="17"/>
        <v>0.0065744729086374964</v>
      </c>
      <c r="N53" s="111">
        <f>E53-вересень!E53</f>
        <v>0</v>
      </c>
      <c r="O53" s="179">
        <f>F53-вересень!F53</f>
        <v>0.019999999999999962</v>
      </c>
      <c r="P53" s="112">
        <f t="shared" si="15"/>
        <v>0.019999999999999962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E54-вересень!E54</f>
        <v>0</v>
      </c>
      <c r="O54" s="179">
        <f>F54-вересень!F54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>
      <c r="A55" s="8"/>
      <c r="B55" s="55" t="s">
        <v>100</v>
      </c>
      <c r="C55" s="138">
        <v>22090400</v>
      </c>
      <c r="D55" s="109">
        <v>6024</v>
      </c>
      <c r="E55" s="109">
        <v>4722.17</v>
      </c>
      <c r="F55" s="171">
        <v>4307.92</v>
      </c>
      <c r="G55" s="36">
        <f t="shared" si="13"/>
        <v>-414.25</v>
      </c>
      <c r="H55" s="32">
        <f t="shared" si="11"/>
        <v>91.22755004584756</v>
      </c>
      <c r="I55" s="110">
        <f t="shared" si="14"/>
        <v>-1716.08</v>
      </c>
      <c r="J55" s="110">
        <f t="shared" si="16"/>
        <v>71.51261620185923</v>
      </c>
      <c r="K55" s="110">
        <v>5258.92</v>
      </c>
      <c r="L55" s="110">
        <f>F55-K55</f>
        <v>-951</v>
      </c>
      <c r="M55" s="115">
        <f t="shared" si="17"/>
        <v>0.8191643911677683</v>
      </c>
      <c r="N55" s="111">
        <f>E55-вересень!E55</f>
        <v>500</v>
      </c>
      <c r="O55" s="179">
        <f>F55-вересень!F55</f>
        <v>25.699999999999818</v>
      </c>
      <c r="P55" s="112">
        <f t="shared" si="15"/>
        <v>-474.3000000000002</v>
      </c>
      <c r="Q55" s="132">
        <f t="shared" si="12"/>
        <v>5.139999999999963</v>
      </c>
      <c r="R55" s="42"/>
      <c r="S55" s="100"/>
      <c r="T55" s="186">
        <f t="shared" si="8"/>
        <v>1301.83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E56-вересень!E56</f>
        <v>0</v>
      </c>
      <c r="O56" s="208">
        <f>F56-вересень!F56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5077.98</v>
      </c>
      <c r="F57" s="196">
        <v>5538.46</v>
      </c>
      <c r="G57" s="202">
        <f t="shared" si="13"/>
        <v>460.4800000000005</v>
      </c>
      <c r="H57" s="204">
        <f t="shared" si="11"/>
        <v>109.06817277736425</v>
      </c>
      <c r="I57" s="205">
        <f t="shared" si="14"/>
        <v>388.46000000000004</v>
      </c>
      <c r="J57" s="205">
        <f t="shared" si="16"/>
        <v>107.54291262135922</v>
      </c>
      <c r="K57" s="205">
        <v>4010.85</v>
      </c>
      <c r="L57" s="205">
        <f aca="true" t="shared" si="18" ref="L57:L63">F57-K57</f>
        <v>1527.6100000000001</v>
      </c>
      <c r="M57" s="266">
        <f t="shared" si="17"/>
        <v>1.380869391774811</v>
      </c>
      <c r="N57" s="204">
        <f>E57-вересень!E57</f>
        <v>440</v>
      </c>
      <c r="O57" s="208">
        <f>F57-вересень!F57</f>
        <v>384.3299999999999</v>
      </c>
      <c r="P57" s="207">
        <f t="shared" si="15"/>
        <v>-55.67000000000007</v>
      </c>
      <c r="Q57" s="205">
        <f t="shared" si="12"/>
        <v>87.34772727272725</v>
      </c>
      <c r="R57" s="42"/>
      <c r="S57" s="100"/>
      <c r="T57" s="186">
        <f t="shared" si="8"/>
        <v>72.02000000000044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E58-вересень!E58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1136.87</v>
      </c>
      <c r="G59" s="202"/>
      <c r="H59" s="204"/>
      <c r="I59" s="205"/>
      <c r="J59" s="205"/>
      <c r="K59" s="206">
        <v>1044.28</v>
      </c>
      <c r="L59" s="205">
        <f t="shared" si="18"/>
        <v>92.58999999999992</v>
      </c>
      <c r="M59" s="266">
        <f t="shared" si="17"/>
        <v>1.0886639598575094</v>
      </c>
      <c r="N59" s="204"/>
      <c r="O59" s="220">
        <f>F59-вересень!F59</f>
        <v>134.51999999999987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E61-вересень!E61</f>
        <v>0</v>
      </c>
      <c r="O61" s="208">
        <f>F61-вересень!F61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21.4</v>
      </c>
      <c r="F62" s="196">
        <v>13.52</v>
      </c>
      <c r="G62" s="202">
        <f t="shared" si="13"/>
        <v>-7.879999999999999</v>
      </c>
      <c r="H62" s="204">
        <f t="shared" si="11"/>
        <v>63.177570093457945</v>
      </c>
      <c r="I62" s="205">
        <f t="shared" si="14"/>
        <v>-16.48</v>
      </c>
      <c r="J62" s="205">
        <f t="shared" si="16"/>
        <v>45.06666666666666</v>
      </c>
      <c r="K62" s="205">
        <v>20.92</v>
      </c>
      <c r="L62" s="205">
        <f t="shared" si="18"/>
        <v>-7.400000000000002</v>
      </c>
      <c r="M62" s="266">
        <f t="shared" si="17"/>
        <v>0.6462715105162523</v>
      </c>
      <c r="N62" s="204">
        <f>E62-вересень!E62</f>
        <v>2.299999999999997</v>
      </c>
      <c r="O62" s="208">
        <f>F62-вересень!F62</f>
        <v>0</v>
      </c>
      <c r="P62" s="207">
        <f t="shared" si="15"/>
        <v>-2.299999999999997</v>
      </c>
      <c r="Q62" s="205">
        <f t="shared" si="12"/>
        <v>0</v>
      </c>
      <c r="R62" s="42"/>
      <c r="S62" s="100"/>
      <c r="T62" s="186">
        <f t="shared" si="8"/>
        <v>8.600000000000001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E63-вересень!E63</f>
        <v>0</v>
      </c>
      <c r="O63" s="208">
        <f>F63-вересень!F63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850992.5599999999</v>
      </c>
      <c r="F64" s="191">
        <f>F8+F38+F62+F63</f>
        <v>852651.03</v>
      </c>
      <c r="G64" s="191">
        <f>F64-E64</f>
        <v>1658.4700000000885</v>
      </c>
      <c r="H64" s="192">
        <f>F64/E64*100</f>
        <v>100.19488654518909</v>
      </c>
      <c r="I64" s="193">
        <f>F64-D64</f>
        <v>-166293.70000000007</v>
      </c>
      <c r="J64" s="193">
        <f>F64/D64*100</f>
        <v>83.679811563479</v>
      </c>
      <c r="K64" s="193">
        <v>577689.14</v>
      </c>
      <c r="L64" s="193">
        <f>F64-K64</f>
        <v>274961.89</v>
      </c>
      <c r="M64" s="267">
        <f>F64/K64</f>
        <v>1.4759685979210202</v>
      </c>
      <c r="N64" s="191">
        <f>N8+N38+N62+N63</f>
        <v>95997.42</v>
      </c>
      <c r="O64" s="191">
        <f>O8+O38+O62+O63</f>
        <v>95150.93000000001</v>
      </c>
      <c r="P64" s="195">
        <f>O64-N64</f>
        <v>-846.4899999999907</v>
      </c>
      <c r="Q64" s="193">
        <f>O64/N64*100</f>
        <v>99.11821588538527</v>
      </c>
      <c r="R64" s="28">
        <f>O64-34768</f>
        <v>60382.93000000001</v>
      </c>
      <c r="S64" s="128">
        <f>O64/34768</f>
        <v>2.7367386677404513</v>
      </c>
      <c r="T64" s="186">
        <f t="shared" si="8"/>
        <v>167952.17000000016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F69-вересень!F69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-54.75</v>
      </c>
      <c r="L70" s="207">
        <f>F70-K70</f>
        <v>44.56</v>
      </c>
      <c r="M70" s="254">
        <f>F70/K70</f>
        <v>0.18611872146118721</v>
      </c>
      <c r="N70" s="204"/>
      <c r="O70" s="223">
        <f>F70-вересень!F70</f>
        <v>-6.359999999999999</v>
      </c>
      <c r="P70" s="207">
        <f>O70-N70</f>
        <v>-6.359999999999999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-51.7</v>
      </c>
      <c r="L71" s="228">
        <f>F71-K71</f>
        <v>41.52</v>
      </c>
      <c r="M71" s="260">
        <f>F71/K71</f>
        <v>0.19690522243713732</v>
      </c>
      <c r="N71" s="226">
        <f>N70</f>
        <v>0</v>
      </c>
      <c r="O71" s="229">
        <f>SUM(O69:O70)</f>
        <v>-6.359999999999999</v>
      </c>
      <c r="P71" s="228">
        <f>O71-N71</f>
        <v>-6.359999999999999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f>4200+11000</f>
        <v>15200</v>
      </c>
      <c r="E73" s="221">
        <v>2700</v>
      </c>
      <c r="F73" s="222">
        <v>2052.2</v>
      </c>
      <c r="G73" s="202">
        <f aca="true" t="shared" si="19" ref="G73:G83">F73-E73</f>
        <v>-647.8000000000002</v>
      </c>
      <c r="H73" s="204"/>
      <c r="I73" s="207">
        <f aca="true" t="shared" si="20" ref="I73:I83">F73-D73</f>
        <v>-13147.8</v>
      </c>
      <c r="J73" s="207">
        <f>F73/D73*100</f>
        <v>13.501315789473683</v>
      </c>
      <c r="K73" s="207">
        <v>593.13</v>
      </c>
      <c r="L73" s="207">
        <f aca="true" t="shared" si="21" ref="L73:L83">F73-K73</f>
        <v>1459.0699999999997</v>
      </c>
      <c r="M73" s="254">
        <f>F73/K73</f>
        <v>3.459949758063156</v>
      </c>
      <c r="N73" s="204">
        <f>E73-вересень!E73</f>
        <v>0</v>
      </c>
      <c r="O73" s="208">
        <f>F73-вересень!F73</f>
        <v>498.2499999999998</v>
      </c>
      <c r="P73" s="207">
        <f aca="true" t="shared" si="22" ref="P73:P86">O73-N73</f>
        <v>498.2499999999998</v>
      </c>
      <c r="Q73" s="207" t="e">
        <f>O73/N73*100</f>
        <v>#DIV/0!</v>
      </c>
      <c r="R73" s="43"/>
      <c r="S73" s="103"/>
      <c r="T73" s="186">
        <f t="shared" si="8"/>
        <v>12500</v>
      </c>
    </row>
    <row r="74" spans="2:20" ht="18">
      <c r="B74" s="23" t="s">
        <v>31</v>
      </c>
      <c r="C74" s="78">
        <v>33010000</v>
      </c>
      <c r="D74" s="221">
        <f>7459+9700</f>
        <v>17159</v>
      </c>
      <c r="E74" s="221">
        <v>5152.91</v>
      </c>
      <c r="F74" s="222">
        <v>7241.5</v>
      </c>
      <c r="G74" s="202">
        <f t="shared" si="19"/>
        <v>2088.59</v>
      </c>
      <c r="H74" s="204">
        <f>F74/E74*100</f>
        <v>140.53224294621873</v>
      </c>
      <c r="I74" s="207">
        <f t="shared" si="20"/>
        <v>-9917.5</v>
      </c>
      <c r="J74" s="207">
        <f>F74/D74*100</f>
        <v>42.20234279386911</v>
      </c>
      <c r="K74" s="207">
        <v>7212.08</v>
      </c>
      <c r="L74" s="207">
        <f t="shared" si="21"/>
        <v>29.420000000000073</v>
      </c>
      <c r="M74" s="254">
        <f>F74/K74</f>
        <v>1.0040792670075762</v>
      </c>
      <c r="N74" s="204">
        <f>E74-вересень!E74</f>
        <v>460.6999999999998</v>
      </c>
      <c r="O74" s="208">
        <f>F74-вересень!F74</f>
        <v>338.0500000000002</v>
      </c>
      <c r="P74" s="207">
        <f t="shared" si="22"/>
        <v>-122.64999999999964</v>
      </c>
      <c r="Q74" s="207">
        <f>O74/N74*100</f>
        <v>73.3774690688084</v>
      </c>
      <c r="R74" s="43"/>
      <c r="S74" s="103"/>
      <c r="T74" s="186">
        <f aca="true" t="shared" si="23" ref="T74:T90">D74-E74</f>
        <v>12006.09</v>
      </c>
    </row>
    <row r="75" spans="2:20" ht="31.5">
      <c r="B75" s="23" t="s">
        <v>55</v>
      </c>
      <c r="C75" s="78">
        <v>24170000</v>
      </c>
      <c r="D75" s="221">
        <f>6000+10000</f>
        <v>16000</v>
      </c>
      <c r="E75" s="221">
        <v>3000.85</v>
      </c>
      <c r="F75" s="222">
        <v>12246.75</v>
      </c>
      <c r="G75" s="202">
        <f t="shared" si="19"/>
        <v>9245.9</v>
      </c>
      <c r="H75" s="204">
        <f>F75/E75*100</f>
        <v>408.1093690121133</v>
      </c>
      <c r="I75" s="207">
        <f t="shared" si="20"/>
        <v>-3753.25</v>
      </c>
      <c r="J75" s="207">
        <f>F75/D75*100</f>
        <v>76.5421875</v>
      </c>
      <c r="K75" s="207">
        <v>2063.43</v>
      </c>
      <c r="L75" s="207">
        <f t="shared" si="21"/>
        <v>10183.32</v>
      </c>
      <c r="M75" s="254">
        <f>F75/K75</f>
        <v>5.935141972347015</v>
      </c>
      <c r="N75" s="204">
        <f>E75-вересень!E75</f>
        <v>302</v>
      </c>
      <c r="O75" s="208">
        <f>F75-вересень!F75</f>
        <v>130.32999999999993</v>
      </c>
      <c r="P75" s="207">
        <f t="shared" si="22"/>
        <v>-171.67000000000007</v>
      </c>
      <c r="Q75" s="207">
        <f>O75/N75*100</f>
        <v>43.15562913907282</v>
      </c>
      <c r="R75" s="43"/>
      <c r="S75" s="103"/>
      <c r="T75" s="186">
        <f t="shared" si="23"/>
        <v>12999.15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10</v>
      </c>
      <c r="F76" s="222">
        <v>11</v>
      </c>
      <c r="G76" s="202">
        <f t="shared" si="19"/>
        <v>1</v>
      </c>
      <c r="H76" s="204">
        <f>F76/E76*100</f>
        <v>110.00000000000001</v>
      </c>
      <c r="I76" s="207">
        <f t="shared" si="20"/>
        <v>-1</v>
      </c>
      <c r="J76" s="207">
        <f>F76/D76*100</f>
        <v>91.66666666666666</v>
      </c>
      <c r="K76" s="207">
        <v>0</v>
      </c>
      <c r="L76" s="207">
        <f t="shared" si="21"/>
        <v>11</v>
      </c>
      <c r="M76" s="254"/>
      <c r="N76" s="204">
        <f>E76-вересень!E76</f>
        <v>1</v>
      </c>
      <c r="O76" s="208">
        <f>F76-вересень!F76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2</v>
      </c>
    </row>
    <row r="77" spans="2:20" ht="33">
      <c r="B77" s="29" t="s">
        <v>52</v>
      </c>
      <c r="C77" s="70"/>
      <c r="D77" s="224">
        <f>D73+D74+D75+D76</f>
        <v>48371</v>
      </c>
      <c r="E77" s="224">
        <f>E73+E74+E75+E76</f>
        <v>10863.76</v>
      </c>
      <c r="F77" s="225">
        <f>F73+F74+F75+F76</f>
        <v>21551.45</v>
      </c>
      <c r="G77" s="226">
        <f t="shared" si="19"/>
        <v>10687.69</v>
      </c>
      <c r="H77" s="227">
        <f>F77/E77*100</f>
        <v>198.37929041142291</v>
      </c>
      <c r="I77" s="228">
        <f t="shared" si="20"/>
        <v>-26819.55</v>
      </c>
      <c r="J77" s="228">
        <f>F77/D77*100</f>
        <v>44.55448512538504</v>
      </c>
      <c r="K77" s="228">
        <v>6439.8</v>
      </c>
      <c r="L77" s="228">
        <f t="shared" si="21"/>
        <v>15111.650000000001</v>
      </c>
      <c r="M77" s="260">
        <f>F77/K77</f>
        <v>3.3466023789558683</v>
      </c>
      <c r="N77" s="226">
        <f>N73+N74+N75+N76</f>
        <v>763.6999999999998</v>
      </c>
      <c r="O77" s="230">
        <f>O73+O74+O75+O76</f>
        <v>967.6299999999999</v>
      </c>
      <c r="P77" s="228">
        <f t="shared" si="22"/>
        <v>203.93000000000006</v>
      </c>
      <c r="Q77" s="228">
        <f>O77/N77*100</f>
        <v>126.70289380646852</v>
      </c>
      <c r="R77" s="44"/>
      <c r="S77" s="129"/>
      <c r="T77" s="186">
        <f t="shared" si="23"/>
        <v>37507.24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35.95</v>
      </c>
      <c r="G78" s="202">
        <f t="shared" si="19"/>
        <v>35.95</v>
      </c>
      <c r="H78" s="204"/>
      <c r="I78" s="207">
        <f t="shared" si="20"/>
        <v>34.95</v>
      </c>
      <c r="J78" s="207"/>
      <c r="K78" s="207">
        <v>0.35</v>
      </c>
      <c r="L78" s="207">
        <f t="shared" si="21"/>
        <v>35.6</v>
      </c>
      <c r="M78" s="254">
        <f>F78/K78</f>
        <v>102.71428571428572</v>
      </c>
      <c r="N78" s="204">
        <f>E78-вересень!E78</f>
        <v>0</v>
      </c>
      <c r="O78" s="208">
        <f>F78-вересень!F78</f>
        <v>0.1700000000000017</v>
      </c>
      <c r="P78" s="207">
        <f t="shared" si="22"/>
        <v>0.1700000000000017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E79-вересень!E79</f>
        <v>0</v>
      </c>
      <c r="O79" s="208">
        <f>F79-вересень!F79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7625.3</v>
      </c>
      <c r="F80" s="222">
        <v>6836.07</v>
      </c>
      <c r="G80" s="202">
        <f t="shared" si="19"/>
        <v>-789.2300000000005</v>
      </c>
      <c r="H80" s="204">
        <f>F80/E80*100</f>
        <v>89.64984984197343</v>
      </c>
      <c r="I80" s="207">
        <f t="shared" si="20"/>
        <v>-2663.9300000000003</v>
      </c>
      <c r="J80" s="207">
        <f>F80/D80*100</f>
        <v>71.95863157894736</v>
      </c>
      <c r="K80" s="207">
        <v>0</v>
      </c>
      <c r="L80" s="207">
        <f t="shared" si="21"/>
        <v>6836.07</v>
      </c>
      <c r="M80" s="254"/>
      <c r="N80" s="204">
        <f>E80-вересень!E80</f>
        <v>1.300000000000182</v>
      </c>
      <c r="O80" s="208">
        <f>F80-вересень!F80</f>
        <v>10.399999999999636</v>
      </c>
      <c r="P80" s="207">
        <f>O80-N80</f>
        <v>9.099999999999454</v>
      </c>
      <c r="Q80" s="231">
        <f>O80/N80*100</f>
        <v>799.9999999998602</v>
      </c>
      <c r="R80" s="46"/>
      <c r="S80" s="105"/>
      <c r="T80" s="186">
        <f t="shared" si="23"/>
        <v>1874.6999999999998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1.34</v>
      </c>
      <c r="G81" s="202">
        <f t="shared" si="19"/>
        <v>1.34</v>
      </c>
      <c r="H81" s="204"/>
      <c r="I81" s="207">
        <f t="shared" si="20"/>
        <v>1.34</v>
      </c>
      <c r="J81" s="207"/>
      <c r="K81" s="207">
        <v>1.14</v>
      </c>
      <c r="L81" s="207">
        <f t="shared" si="21"/>
        <v>0.20000000000000018</v>
      </c>
      <c r="M81" s="254">
        <f>F81/K81</f>
        <v>1.1754385964912282</v>
      </c>
      <c r="N81" s="204">
        <f>E81-вересень!E81</f>
        <v>0</v>
      </c>
      <c r="O81" s="208">
        <f>F81-вересень!F81</f>
        <v>0.1200000000000001</v>
      </c>
      <c r="P81" s="207">
        <f t="shared" si="22"/>
        <v>0.1200000000000001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7625.3</v>
      </c>
      <c r="F82" s="225">
        <f>F78+F81+F79+F80</f>
        <v>6873.36</v>
      </c>
      <c r="G82" s="224">
        <f>G78+G81+G79+G80</f>
        <v>-751.9400000000005</v>
      </c>
      <c r="H82" s="227">
        <f>F82/E82*100</f>
        <v>90.13887978177907</v>
      </c>
      <c r="I82" s="228">
        <f t="shared" si="20"/>
        <v>-2627.6400000000003</v>
      </c>
      <c r="J82" s="228">
        <f>F82/D82*100</f>
        <v>72.34354278497001</v>
      </c>
      <c r="K82" s="228">
        <v>1.35</v>
      </c>
      <c r="L82" s="228">
        <f t="shared" si="21"/>
        <v>6872.009999999999</v>
      </c>
      <c r="M82" s="268">
        <f>F82/K82</f>
        <v>5091.377777777777</v>
      </c>
      <c r="N82" s="226">
        <f>N78+N81+N79+N80</f>
        <v>1.300000000000182</v>
      </c>
      <c r="O82" s="230">
        <f>O78+O81+O79+O80</f>
        <v>10.689999999999639</v>
      </c>
      <c r="P82" s="226">
        <f>P78+P81+P79+P80</f>
        <v>9.389999999999457</v>
      </c>
      <c r="Q82" s="228">
        <f>O82/N82*100</f>
        <v>822.3076923075494</v>
      </c>
      <c r="R82" s="44"/>
      <c r="S82" s="102"/>
      <c r="T82" s="186">
        <f t="shared" si="23"/>
        <v>1875.6999999999998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29.77</v>
      </c>
      <c r="F83" s="222">
        <v>27.47</v>
      </c>
      <c r="G83" s="202">
        <f t="shared" si="19"/>
        <v>-2.3000000000000007</v>
      </c>
      <c r="H83" s="204">
        <f>F83/E83*100</f>
        <v>92.27410144440712</v>
      </c>
      <c r="I83" s="207">
        <f t="shared" si="20"/>
        <v>-15.530000000000001</v>
      </c>
      <c r="J83" s="207">
        <f>F83/D83*100</f>
        <v>63.883720930232556</v>
      </c>
      <c r="K83" s="207">
        <v>30.02</v>
      </c>
      <c r="L83" s="207">
        <f t="shared" si="21"/>
        <v>-2.5500000000000007</v>
      </c>
      <c r="M83" s="254">
        <f>F83/K83</f>
        <v>0.9150566289140573</v>
      </c>
      <c r="N83" s="204">
        <f>E83-вересень!E83</f>
        <v>0.8000000000000007</v>
      </c>
      <c r="O83" s="208">
        <f>F83-вересень!F83</f>
        <v>0.5999999999999979</v>
      </c>
      <c r="P83" s="207">
        <f t="shared" si="22"/>
        <v>-0.20000000000000284</v>
      </c>
      <c r="Q83" s="207">
        <f>O83/N83</f>
        <v>0.7499999999999967</v>
      </c>
      <c r="R83" s="43"/>
      <c r="S83" s="103"/>
      <c r="T83" s="186">
        <f t="shared" si="23"/>
        <v>13.23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57915</v>
      </c>
      <c r="E85" s="232">
        <f>E71+E83+E77+E82</f>
        <v>18518.83</v>
      </c>
      <c r="F85" s="232">
        <f>F71+F83+F77+F82+F84</f>
        <v>28442.100000000002</v>
      </c>
      <c r="G85" s="233">
        <f>F85-E85</f>
        <v>9923.27</v>
      </c>
      <c r="H85" s="234">
        <f>F85/E85*100</f>
        <v>153.58475670439222</v>
      </c>
      <c r="I85" s="235">
        <f>F85-D85</f>
        <v>-29472.899999999998</v>
      </c>
      <c r="J85" s="235">
        <f>F85/D85*100</f>
        <v>49.110075110075115</v>
      </c>
      <c r="K85" s="235">
        <v>9845.6</v>
      </c>
      <c r="L85" s="235">
        <f>F85-K85</f>
        <v>18596.5</v>
      </c>
      <c r="M85" s="269">
        <f>F85/K85</f>
        <v>2.888813276996831</v>
      </c>
      <c r="N85" s="232">
        <f>N71+N83+N77+N82</f>
        <v>765.8</v>
      </c>
      <c r="O85" s="232">
        <f>O71+O83+O77+O82+O84</f>
        <v>972.5599999999995</v>
      </c>
      <c r="P85" s="235">
        <f t="shared" si="22"/>
        <v>206.75999999999954</v>
      </c>
      <c r="Q85" s="235">
        <f>O85/N85*100</f>
        <v>126.99921650561498</v>
      </c>
      <c r="R85" s="28">
        <f>O85-8104.96</f>
        <v>-7132.400000000001</v>
      </c>
      <c r="S85" s="101">
        <f>O85/8104.96</f>
        <v>0.11999565698041686</v>
      </c>
      <c r="T85" s="186">
        <f t="shared" si="23"/>
        <v>39396.17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869511.3899999999</v>
      </c>
      <c r="F86" s="232">
        <f>F64+F85</f>
        <v>881093.13</v>
      </c>
      <c r="G86" s="233">
        <f>F86-E86</f>
        <v>11581.740000000107</v>
      </c>
      <c r="H86" s="234">
        <f>F86/E86*100</f>
        <v>101.33198255171794</v>
      </c>
      <c r="I86" s="235">
        <f>F86-D86</f>
        <v>-195766.59999999998</v>
      </c>
      <c r="J86" s="235">
        <f>F86/D86*100</f>
        <v>81.82060350608523</v>
      </c>
      <c r="K86" s="235">
        <f>K64+K85</f>
        <v>587534.74</v>
      </c>
      <c r="L86" s="235">
        <f>F86-K86</f>
        <v>293558.39</v>
      </c>
      <c r="M86" s="269">
        <f>F86/K86</f>
        <v>1.4996443103943096</v>
      </c>
      <c r="N86" s="233">
        <f>N64+N85</f>
        <v>96763.22</v>
      </c>
      <c r="O86" s="233">
        <f>O64+O85</f>
        <v>96123.49</v>
      </c>
      <c r="P86" s="235">
        <f t="shared" si="22"/>
        <v>-639.7299999999959</v>
      </c>
      <c r="Q86" s="235">
        <f>O86/N86*100</f>
        <v>99.33887069901147</v>
      </c>
      <c r="R86" s="28">
        <f>O86-42872.96</f>
        <v>53250.530000000006</v>
      </c>
      <c r="S86" s="101">
        <f>O86/42872.96</f>
        <v>2.242053965949634</v>
      </c>
      <c r="T86" s="186">
        <f t="shared" si="23"/>
        <v>207348.34000000008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42674</v>
      </c>
      <c r="D90" s="31">
        <v>6669</v>
      </c>
      <c r="G90" s="4" t="s">
        <v>59</v>
      </c>
      <c r="O90" s="443"/>
      <c r="P90" s="443"/>
      <c r="T90" s="186">
        <f t="shared" si="23"/>
        <v>6669</v>
      </c>
    </row>
    <row r="91" spans="3:16" ht="15">
      <c r="C91" s="87">
        <v>42671</v>
      </c>
      <c r="D91" s="31">
        <v>15898.1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42670</v>
      </c>
      <c r="D92" s="31">
        <v>7999.8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.75" customHeight="1">
      <c r="B94" s="451" t="s">
        <v>57</v>
      </c>
      <c r="C94" s="452"/>
      <c r="D94" s="148">
        <v>12068.543380000001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.75" customHeight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958</v>
      </c>
      <c r="F97" s="247">
        <f>F45+F48+F49</f>
        <v>794.51</v>
      </c>
      <c r="G97" s="73">
        <f>G45+G48+G49</f>
        <v>-163.49000000000004</v>
      </c>
      <c r="H97" s="74"/>
      <c r="I97" s="74"/>
      <c r="N97" s="31">
        <f>N45+N48+N49</f>
        <v>12</v>
      </c>
      <c r="O97" s="246">
        <f>O45+O48+O49</f>
        <v>139.07999999999998</v>
      </c>
      <c r="P97" s="31">
        <f>P45+P48+P49</f>
        <v>127.07999999999998</v>
      </c>
    </row>
    <row r="98" spans="4:16" ht="15">
      <c r="D98" s="83"/>
      <c r="I98" s="31"/>
      <c r="O98" s="449"/>
      <c r="P98" s="449"/>
    </row>
    <row r="99" spans="15:16" ht="15">
      <c r="O99" s="444"/>
      <c r="P99" s="444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" bottom="0" header="0" footer="0"/>
  <pageSetup fitToHeight="2" fitToWidth="1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6" zoomScaleNormal="76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19" sqref="I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3" width="12.00390625" style="4" customWidth="1"/>
    <col min="14" max="14" width="12.00390625" style="4" hidden="1" customWidth="1"/>
    <col min="15" max="15" width="11.00390625" style="4" hidden="1" customWidth="1"/>
    <col min="16" max="16" width="12.625" style="4" hidden="1" customWidth="1"/>
    <col min="17" max="18" width="11.00390625" style="4" hidden="1" customWidth="1"/>
    <col min="19" max="19" width="11.00390625" style="95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6" t="s">
        <v>206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201</v>
      </c>
      <c r="O3" s="429" t="s">
        <v>202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198</v>
      </c>
      <c r="F4" s="432" t="s">
        <v>34</v>
      </c>
      <c r="G4" s="434" t="s">
        <v>199</v>
      </c>
      <c r="H4" s="427" t="s">
        <v>200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207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203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705850.81</v>
      </c>
      <c r="F8" s="191">
        <f>F9+F15+F18+F19+F20+F37+F17</f>
        <v>708038.67</v>
      </c>
      <c r="G8" s="191">
        <f aca="true" t="shared" si="0" ref="G8:G37">F8-E8</f>
        <v>2187.859999999986</v>
      </c>
      <c r="H8" s="192">
        <f>F8/E8*100</f>
        <v>100.3099606841848</v>
      </c>
      <c r="I8" s="193">
        <f>F8-D8</f>
        <v>-249032.78000000003</v>
      </c>
      <c r="J8" s="193">
        <f>F8/D8*100</f>
        <v>73.97970862050059</v>
      </c>
      <c r="K8" s="191">
        <v>480879.27</v>
      </c>
      <c r="L8" s="191">
        <f aca="true" t="shared" si="1" ref="L8:L51">F8-K8</f>
        <v>227159.40000000002</v>
      </c>
      <c r="M8" s="250">
        <f aca="true" t="shared" si="2" ref="M8:M28">F8/K8</f>
        <v>1.472383432124242</v>
      </c>
      <c r="N8" s="191">
        <f>N9+N15+N18+N19+N20+N17</f>
        <v>76492.83</v>
      </c>
      <c r="O8" s="191">
        <f>O9+O15+O18+O19+O20+O17</f>
        <v>74517.83999999998</v>
      </c>
      <c r="P8" s="191">
        <f>O8-N8</f>
        <v>-1974.9900000000198</v>
      </c>
      <c r="Q8" s="191">
        <f>O8/N8*100</f>
        <v>97.41807173299769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374978.67+4100</f>
        <v>379078.67</v>
      </c>
      <c r="F9" s="196">
        <v>385326.41</v>
      </c>
      <c r="G9" s="190">
        <f t="shared" si="0"/>
        <v>6247.739999999991</v>
      </c>
      <c r="H9" s="197">
        <f>F9/E9*100</f>
        <v>101.64813810283759</v>
      </c>
      <c r="I9" s="198">
        <f>F9-D9</f>
        <v>-145262.59000000003</v>
      </c>
      <c r="J9" s="198">
        <f>F9/D9*100</f>
        <v>72.62238945775354</v>
      </c>
      <c r="K9" s="412">
        <v>264375.41</v>
      </c>
      <c r="L9" s="199">
        <f t="shared" si="1"/>
        <v>120951</v>
      </c>
      <c r="M9" s="251">
        <f t="shared" si="2"/>
        <v>1.4574971628412794</v>
      </c>
      <c r="N9" s="197">
        <f>E9-серпень!E9</f>
        <v>46785</v>
      </c>
      <c r="O9" s="200">
        <f>F9-серпень!F9</f>
        <v>45408.04999999999</v>
      </c>
      <c r="P9" s="201">
        <f>O9-N9</f>
        <v>-1376.9500000000116</v>
      </c>
      <c r="Q9" s="198">
        <f>O9/N9*100</f>
        <v>97.05685582985998</v>
      </c>
      <c r="R9" s="106"/>
      <c r="S9" s="107"/>
      <c r="T9" s="186">
        <f>D9-E9</f>
        <v>151510.33000000002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f>334470.24+4100</f>
        <v>338570.24</v>
      </c>
      <c r="F10" s="171">
        <v>339269.05</v>
      </c>
      <c r="G10" s="109">
        <f t="shared" si="0"/>
        <v>698.8099999999977</v>
      </c>
      <c r="H10" s="32">
        <f aca="true" t="shared" si="3" ref="H10:H36">F10/E10*100</f>
        <v>100.20640030263735</v>
      </c>
      <c r="I10" s="110">
        <f aca="true" t="shared" si="4" ref="I10:I37">F10-D10</f>
        <v>-145939.95</v>
      </c>
      <c r="J10" s="110">
        <f aca="true" t="shared" si="5" ref="J10:J36">F10/D10*100</f>
        <v>69.92224999948475</v>
      </c>
      <c r="K10" s="112">
        <v>233936.48</v>
      </c>
      <c r="L10" s="112">
        <f t="shared" si="1"/>
        <v>105332.56999999998</v>
      </c>
      <c r="M10" s="252">
        <f t="shared" si="2"/>
        <v>1.4502614128416396</v>
      </c>
      <c r="N10" s="111">
        <f>E10-серпень!E10</f>
        <v>43200</v>
      </c>
      <c r="O10" s="179">
        <f>F10-серпень!F10</f>
        <v>40595.640000000014</v>
      </c>
      <c r="P10" s="112">
        <f aca="true" t="shared" si="6" ref="P10:P37">O10-N10</f>
        <v>-2604.359999999986</v>
      </c>
      <c r="Q10" s="198">
        <f aca="true" t="shared" si="7" ref="Q10:Q16">O10/N10*100</f>
        <v>93.97138888888892</v>
      </c>
      <c r="R10" s="42"/>
      <c r="S10" s="100"/>
      <c r="T10" s="186">
        <f aca="true" t="shared" si="8" ref="T10:T73">D10-E10</f>
        <v>146638.76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28497.47</v>
      </c>
      <c r="G11" s="109">
        <f t="shared" si="0"/>
        <v>6982.5300000000025</v>
      </c>
      <c r="H11" s="32">
        <f t="shared" si="3"/>
        <v>132.4543317341345</v>
      </c>
      <c r="I11" s="110">
        <f t="shared" si="4"/>
        <v>5497.470000000001</v>
      </c>
      <c r="J11" s="110">
        <f t="shared" si="5"/>
        <v>123.90204347826088</v>
      </c>
      <c r="K11" s="112">
        <v>14002.69</v>
      </c>
      <c r="L11" s="112">
        <f t="shared" si="1"/>
        <v>14494.78</v>
      </c>
      <c r="M11" s="252">
        <f t="shared" si="2"/>
        <v>2.035142533327525</v>
      </c>
      <c r="N11" s="111">
        <f>E11-серпень!E11</f>
        <v>1800</v>
      </c>
      <c r="O11" s="179">
        <f>F11-серпень!F11</f>
        <v>3498.540000000001</v>
      </c>
      <c r="P11" s="112">
        <f t="shared" si="6"/>
        <v>1698.5400000000009</v>
      </c>
      <c r="Q11" s="198">
        <f t="shared" si="7"/>
        <v>194.36333333333337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7409.72</v>
      </c>
      <c r="G12" s="109">
        <f t="shared" si="0"/>
        <v>1529.1100000000006</v>
      </c>
      <c r="H12" s="32">
        <f t="shared" si="3"/>
        <v>126.00257456284298</v>
      </c>
      <c r="I12" s="110">
        <f t="shared" si="4"/>
        <v>909.7200000000003</v>
      </c>
      <c r="J12" s="110">
        <f t="shared" si="5"/>
        <v>113.99569230769231</v>
      </c>
      <c r="K12" s="112">
        <v>3744.64</v>
      </c>
      <c r="L12" s="112">
        <f t="shared" si="1"/>
        <v>3665.0800000000004</v>
      </c>
      <c r="M12" s="252">
        <f t="shared" si="2"/>
        <v>1.9787536318578023</v>
      </c>
      <c r="N12" s="111">
        <f>E12-серпень!E12</f>
        <v>480</v>
      </c>
      <c r="O12" s="179">
        <f>F12-серпень!F12</f>
        <v>723.3299999999999</v>
      </c>
      <c r="P12" s="112">
        <f t="shared" si="6"/>
        <v>243.32999999999993</v>
      </c>
      <c r="Q12" s="198">
        <f t="shared" si="7"/>
        <v>150.69375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7511.25</v>
      </c>
      <c r="G13" s="109">
        <f t="shared" si="0"/>
        <v>-2153.59</v>
      </c>
      <c r="H13" s="32">
        <f t="shared" si="3"/>
        <v>77.7172720914159</v>
      </c>
      <c r="I13" s="110">
        <f t="shared" si="4"/>
        <v>-4888.75</v>
      </c>
      <c r="J13" s="110">
        <f t="shared" si="5"/>
        <v>60.574596774193544</v>
      </c>
      <c r="K13" s="112">
        <v>5730.24</v>
      </c>
      <c r="L13" s="112">
        <f t="shared" si="1"/>
        <v>1781.0100000000002</v>
      </c>
      <c r="M13" s="252">
        <f t="shared" si="2"/>
        <v>1.3108089713519853</v>
      </c>
      <c r="N13" s="111">
        <f>E13-серпень!E13</f>
        <v>1300</v>
      </c>
      <c r="O13" s="179">
        <f>F13-серпень!F13</f>
        <v>494</v>
      </c>
      <c r="P13" s="112">
        <f t="shared" si="6"/>
        <v>-806</v>
      </c>
      <c r="Q13" s="198">
        <f t="shared" si="7"/>
        <v>38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2638.91</v>
      </c>
      <c r="G14" s="109">
        <f t="shared" si="0"/>
        <v>-809.1300000000001</v>
      </c>
      <c r="H14" s="32">
        <f t="shared" si="3"/>
        <v>76.53362489994315</v>
      </c>
      <c r="I14" s="110">
        <f t="shared" si="4"/>
        <v>-841.0900000000001</v>
      </c>
      <c r="J14" s="110">
        <f t="shared" si="5"/>
        <v>75.83074712643678</v>
      </c>
      <c r="K14" s="112">
        <v>6961.36</v>
      </c>
      <c r="L14" s="112">
        <f t="shared" si="1"/>
        <v>-4322.45</v>
      </c>
      <c r="M14" s="252">
        <f t="shared" si="2"/>
        <v>0.3790796625946654</v>
      </c>
      <c r="N14" s="111">
        <f>E14-серпень!E14</f>
        <v>5</v>
      </c>
      <c r="O14" s="179">
        <f>F14-серпень!F14</f>
        <v>96.52999999999975</v>
      </c>
      <c r="P14" s="112">
        <f t="shared" si="6"/>
        <v>91.52999999999975</v>
      </c>
      <c r="Q14" s="198">
        <f t="shared" si="7"/>
        <v>1930.5999999999947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386.82</v>
      </c>
      <c r="G15" s="190">
        <f t="shared" si="0"/>
        <v>16.819999999999993</v>
      </c>
      <c r="H15" s="197">
        <f>F15/E15*100</f>
        <v>104.54594594594595</v>
      </c>
      <c r="I15" s="198">
        <f t="shared" si="4"/>
        <v>-113.18</v>
      </c>
      <c r="J15" s="198">
        <f t="shared" si="5"/>
        <v>77.364</v>
      </c>
      <c r="K15" s="201">
        <v>-666.69</v>
      </c>
      <c r="L15" s="201">
        <f t="shared" si="1"/>
        <v>1053.51</v>
      </c>
      <c r="M15" s="253">
        <f t="shared" si="2"/>
        <v>-0.5802096926607568</v>
      </c>
      <c r="N15" s="197">
        <f>E15-серпень!E15</f>
        <v>5</v>
      </c>
      <c r="O15" s="200">
        <f>F15-серпень!F15</f>
        <v>1.5600000000000023</v>
      </c>
      <c r="P15" s="201">
        <f t="shared" si="6"/>
        <v>-3.4399999999999977</v>
      </c>
      <c r="Q15" s="198">
        <f t="shared" si="7"/>
        <v>31.200000000000045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74352.8</v>
      </c>
      <c r="G19" s="190">
        <f t="shared" si="0"/>
        <v>-5707.599999999991</v>
      </c>
      <c r="H19" s="197">
        <f t="shared" si="3"/>
        <v>92.8708824837248</v>
      </c>
      <c r="I19" s="198">
        <f t="shared" si="4"/>
        <v>-35547.2</v>
      </c>
      <c r="J19" s="198">
        <f t="shared" si="5"/>
        <v>67.65495905368518</v>
      </c>
      <c r="K19" s="209">
        <v>51468.87</v>
      </c>
      <c r="L19" s="201">
        <f t="shared" si="1"/>
        <v>22883.93</v>
      </c>
      <c r="M19" s="259">
        <f t="shared" si="2"/>
        <v>1.4446169111542568</v>
      </c>
      <c r="N19" s="197">
        <f>E19-серпень!E19</f>
        <v>10800</v>
      </c>
      <c r="O19" s="200">
        <f>F19-серпень!F19</f>
        <v>9916.520000000004</v>
      </c>
      <c r="P19" s="201">
        <f t="shared" si="6"/>
        <v>-883.4799999999959</v>
      </c>
      <c r="Q19" s="198">
        <f aca="true" t="shared" si="9" ref="Q19:Q24">O19/N19*100</f>
        <v>91.81962962962966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246235.94</v>
      </c>
      <c r="F20" s="272">
        <f>F21+F29+F30+F31+F32</f>
        <v>247866.66999999998</v>
      </c>
      <c r="G20" s="190">
        <f t="shared" si="0"/>
        <v>1630.7299999999814</v>
      </c>
      <c r="H20" s="197">
        <f t="shared" si="3"/>
        <v>100.66226319358577</v>
      </c>
      <c r="I20" s="198">
        <f t="shared" si="4"/>
        <v>-68109.98000000004</v>
      </c>
      <c r="J20" s="198">
        <f t="shared" si="5"/>
        <v>78.44461608159969</v>
      </c>
      <c r="K20" s="198">
        <v>160106.6</v>
      </c>
      <c r="L20" s="201">
        <f t="shared" si="1"/>
        <v>87760.06999999998</v>
      </c>
      <c r="M20" s="254">
        <f t="shared" si="2"/>
        <v>1.5481352423947543</v>
      </c>
      <c r="N20" s="197">
        <f>N21+N30+N31+N32</f>
        <v>18902.83</v>
      </c>
      <c r="O20" s="200">
        <f>F20-серпень!F20</f>
        <v>19191.709999999992</v>
      </c>
      <c r="P20" s="201">
        <f t="shared" si="6"/>
        <v>288.8799999999901</v>
      </c>
      <c r="Q20" s="198">
        <f t="shared" si="9"/>
        <v>101.5282367772444</v>
      </c>
      <c r="R20" s="113"/>
      <c r="S20" s="114"/>
      <c r="T20" s="186">
        <f t="shared" si="8"/>
        <v>69740.71000000002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135815.81</v>
      </c>
      <c r="G21" s="190">
        <f t="shared" si="0"/>
        <v>1735.0199999999895</v>
      </c>
      <c r="H21" s="197">
        <f t="shared" si="3"/>
        <v>101.29401087210181</v>
      </c>
      <c r="I21" s="198">
        <f t="shared" si="4"/>
        <v>-39083.84</v>
      </c>
      <c r="J21" s="198">
        <f t="shared" si="5"/>
        <v>77.65356305744466</v>
      </c>
      <c r="K21" s="198">
        <v>88979.33</v>
      </c>
      <c r="L21" s="201">
        <f t="shared" si="1"/>
        <v>46836.479999999996</v>
      </c>
      <c r="M21" s="254">
        <f t="shared" si="2"/>
        <v>1.5263748333461264</v>
      </c>
      <c r="N21" s="197">
        <f>N22+N25+N26</f>
        <v>13311.830000000004</v>
      </c>
      <c r="O21" s="200">
        <f>F21-серпень!F21</f>
        <v>14135.839999999997</v>
      </c>
      <c r="P21" s="201">
        <f t="shared" si="6"/>
        <v>824.0099999999929</v>
      </c>
      <c r="Q21" s="198">
        <f t="shared" si="9"/>
        <v>106.19005801606536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15758.82</v>
      </c>
      <c r="G22" s="212">
        <f t="shared" si="0"/>
        <v>634.3400000000001</v>
      </c>
      <c r="H22" s="214">
        <f t="shared" si="3"/>
        <v>104.19412766587676</v>
      </c>
      <c r="I22" s="215">
        <f t="shared" si="4"/>
        <v>-2741.1800000000003</v>
      </c>
      <c r="J22" s="215">
        <f t="shared" si="5"/>
        <v>85.1828108108108</v>
      </c>
      <c r="K22" s="216">
        <v>9131.68</v>
      </c>
      <c r="L22" s="206">
        <f t="shared" si="1"/>
        <v>6627.139999999999</v>
      </c>
      <c r="M22" s="262">
        <f t="shared" si="2"/>
        <v>1.7257306432113257</v>
      </c>
      <c r="N22" s="214">
        <f>E22-серпень!E22</f>
        <v>547.5799999999999</v>
      </c>
      <c r="O22" s="217">
        <f>F22-серпень!F22</f>
        <v>885.3500000000004</v>
      </c>
      <c r="P22" s="218">
        <f t="shared" si="6"/>
        <v>337.77000000000044</v>
      </c>
      <c r="Q22" s="215">
        <f t="shared" si="9"/>
        <v>161.68413747762892</v>
      </c>
      <c r="R22" s="113"/>
      <c r="S22" s="114"/>
      <c r="T22" s="186">
        <f t="shared" si="8"/>
        <v>3375.5200000000004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1024.4</v>
      </c>
      <c r="F23" s="203">
        <v>668.85</v>
      </c>
      <c r="G23" s="241">
        <f t="shared" si="0"/>
        <v>-355.55000000000007</v>
      </c>
      <c r="H23" s="242">
        <f t="shared" si="3"/>
        <v>65.29187817258882</v>
      </c>
      <c r="I23" s="243">
        <f t="shared" si="4"/>
        <v>-1331.15</v>
      </c>
      <c r="J23" s="243">
        <f t="shared" si="5"/>
        <v>33.4425</v>
      </c>
      <c r="K23" s="261">
        <v>574.07</v>
      </c>
      <c r="L23" s="261">
        <f t="shared" si="1"/>
        <v>94.77999999999997</v>
      </c>
      <c r="M23" s="263">
        <f t="shared" si="2"/>
        <v>1.1651018168516034</v>
      </c>
      <c r="N23" s="239">
        <f>E23-серпень!E23</f>
        <v>150.0000000000001</v>
      </c>
      <c r="O23" s="239">
        <f>F23-серпень!F23</f>
        <v>45.210000000000036</v>
      </c>
      <c r="P23" s="240">
        <f t="shared" si="6"/>
        <v>-104.79000000000008</v>
      </c>
      <c r="Q23" s="240">
        <f t="shared" si="9"/>
        <v>30.14</v>
      </c>
      <c r="R23" s="113"/>
      <c r="S23" s="114"/>
      <c r="T23" s="186">
        <f t="shared" si="8"/>
        <v>975.5999999999999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14100.08</v>
      </c>
      <c r="F24" s="203">
        <v>15089.97</v>
      </c>
      <c r="G24" s="241">
        <f t="shared" si="0"/>
        <v>989.8899999999994</v>
      </c>
      <c r="H24" s="242">
        <f t="shared" si="3"/>
        <v>107.02045662152271</v>
      </c>
      <c r="I24" s="243">
        <f t="shared" si="4"/>
        <v>-1410.0300000000007</v>
      </c>
      <c r="J24" s="243">
        <f t="shared" si="5"/>
        <v>91.45436363636364</v>
      </c>
      <c r="K24" s="261">
        <v>8557.61</v>
      </c>
      <c r="L24" s="261">
        <f t="shared" si="1"/>
        <v>6532.359999999999</v>
      </c>
      <c r="M24" s="263">
        <f t="shared" si="2"/>
        <v>1.7633392968363828</v>
      </c>
      <c r="N24" s="239">
        <f>E24-серпень!E24</f>
        <v>397.5799999999999</v>
      </c>
      <c r="O24" s="239">
        <f>F24-серпень!F24</f>
        <v>840.1399999999994</v>
      </c>
      <c r="P24" s="240">
        <f t="shared" si="6"/>
        <v>442.5599999999995</v>
      </c>
      <c r="Q24" s="240">
        <f t="shared" si="9"/>
        <v>211.31344635041995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777.34</v>
      </c>
      <c r="G25" s="212">
        <f t="shared" si="0"/>
        <v>-150</v>
      </c>
      <c r="H25" s="214">
        <f t="shared" si="3"/>
        <v>83.82470291371018</v>
      </c>
      <c r="I25" s="215">
        <f t="shared" si="4"/>
        <v>-222.65999999999997</v>
      </c>
      <c r="J25" s="215">
        <f t="shared" si="5"/>
        <v>77.73400000000001</v>
      </c>
      <c r="K25" s="215">
        <v>3333.63</v>
      </c>
      <c r="L25" s="215">
        <f t="shared" si="1"/>
        <v>-2556.29</v>
      </c>
      <c r="M25" s="257">
        <f t="shared" si="2"/>
        <v>0.23318124686902866</v>
      </c>
      <c r="N25" s="214">
        <f>E25-серпень!E25</f>
        <v>34.200000000000045</v>
      </c>
      <c r="O25" s="217">
        <f>F25-серпень!F25</f>
        <v>108.34000000000003</v>
      </c>
      <c r="P25" s="218">
        <f t="shared" si="6"/>
        <v>74.13999999999999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119279.65</v>
      </c>
      <c r="G26" s="212">
        <f t="shared" si="0"/>
        <v>1250.679999999993</v>
      </c>
      <c r="H26" s="214">
        <f t="shared" si="3"/>
        <v>101.05963815493773</v>
      </c>
      <c r="I26" s="215">
        <f t="shared" si="4"/>
        <v>-36120</v>
      </c>
      <c r="J26" s="215">
        <f t="shared" si="5"/>
        <v>76.7567044069919</v>
      </c>
      <c r="K26" s="216">
        <v>76514.01</v>
      </c>
      <c r="L26" s="216">
        <f t="shared" si="1"/>
        <v>42765.64</v>
      </c>
      <c r="M26" s="256">
        <f t="shared" si="2"/>
        <v>1.558925613753612</v>
      </c>
      <c r="N26" s="214">
        <f>E26-серпень!E26</f>
        <v>12730.050000000003</v>
      </c>
      <c r="O26" s="217">
        <f>F26-серпень!F26</f>
        <v>13142.149999999994</v>
      </c>
      <c r="P26" s="218">
        <f t="shared" si="6"/>
        <v>412.09999999999127</v>
      </c>
      <c r="Q26" s="215">
        <f>O26/N26*100</f>
        <v>103.23722216330644</v>
      </c>
      <c r="R26" s="113"/>
      <c r="S26" s="114"/>
      <c r="T26" s="186">
        <f t="shared" si="8"/>
        <v>37370.67999999999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36881.8</v>
      </c>
      <c r="F27" s="203">
        <v>37996.12</v>
      </c>
      <c r="G27" s="241">
        <f t="shared" si="0"/>
        <v>1114.3199999999997</v>
      </c>
      <c r="H27" s="242">
        <f t="shared" si="3"/>
        <v>103.0213275924711</v>
      </c>
      <c r="I27" s="243">
        <f t="shared" si="4"/>
        <v>-9370.879999999997</v>
      </c>
      <c r="J27" s="243">
        <f t="shared" si="5"/>
        <v>80.21643760423925</v>
      </c>
      <c r="K27" s="261">
        <v>20770.43</v>
      </c>
      <c r="L27" s="261">
        <f t="shared" si="1"/>
        <v>17225.690000000002</v>
      </c>
      <c r="M27" s="263">
        <f t="shared" si="2"/>
        <v>1.8293371875305424</v>
      </c>
      <c r="N27" s="239">
        <f>E27-серпень!E27</f>
        <v>3590.050000000003</v>
      </c>
      <c r="O27" s="239">
        <f>F27-серпень!F27</f>
        <v>3958.300000000003</v>
      </c>
      <c r="P27" s="240">
        <f t="shared" si="6"/>
        <v>368.25</v>
      </c>
      <c r="Q27" s="240">
        <f>O27/N27*100</f>
        <v>110.25751730477292</v>
      </c>
      <c r="R27" s="113"/>
      <c r="S27" s="114"/>
      <c r="T27" s="186">
        <f t="shared" si="8"/>
        <v>10485.199999999997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81147.17</v>
      </c>
      <c r="F28" s="203">
        <v>81283.52</v>
      </c>
      <c r="G28" s="241">
        <f t="shared" si="0"/>
        <v>136.35000000000582</v>
      </c>
      <c r="H28" s="242">
        <f t="shared" si="3"/>
        <v>100.16802804090396</v>
      </c>
      <c r="I28" s="243">
        <f t="shared" si="4"/>
        <v>-26749.12999999999</v>
      </c>
      <c r="J28" s="243">
        <f t="shared" si="5"/>
        <v>75.23977242065247</v>
      </c>
      <c r="K28" s="261">
        <v>55743.59</v>
      </c>
      <c r="L28" s="261">
        <f t="shared" si="1"/>
        <v>25539.930000000008</v>
      </c>
      <c r="M28" s="263">
        <f t="shared" si="2"/>
        <v>1.4581680153718124</v>
      </c>
      <c r="N28" s="239">
        <f>E28-серпень!E28</f>
        <v>9140</v>
      </c>
      <c r="O28" s="239">
        <f>F28-серпень!F28</f>
        <v>9183.850000000006</v>
      </c>
      <c r="P28" s="240">
        <f t="shared" si="6"/>
        <v>43.85000000000582</v>
      </c>
      <c r="Q28" s="240">
        <f>O28/N28*100</f>
        <v>100.47975929978124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87.95</v>
      </c>
      <c r="G30" s="190">
        <f t="shared" si="0"/>
        <v>32.64</v>
      </c>
      <c r="H30" s="197">
        <f t="shared" si="3"/>
        <v>159.01283673838364</v>
      </c>
      <c r="I30" s="198">
        <f t="shared" si="4"/>
        <v>10.950000000000003</v>
      </c>
      <c r="J30" s="198">
        <f t="shared" si="5"/>
        <v>114.22077922077922</v>
      </c>
      <c r="K30" s="198">
        <v>55.85</v>
      </c>
      <c r="L30" s="198">
        <f t="shared" si="1"/>
        <v>32.1</v>
      </c>
      <c r="M30" s="255">
        <f>F30/K30</f>
        <v>1.5747538048343779</v>
      </c>
      <c r="N30" s="197">
        <f>E30-серпень!E30</f>
        <v>7</v>
      </c>
      <c r="O30" s="200">
        <f>F30-серпень!F30</f>
        <v>2</v>
      </c>
      <c r="P30" s="201">
        <f t="shared" si="6"/>
        <v>-5</v>
      </c>
      <c r="Q30" s="198">
        <f>O30/N30*100</f>
        <v>28.57142857142857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-160.1</v>
      </c>
      <c r="G31" s="190">
        <f t="shared" si="0"/>
        <v>-160.1</v>
      </c>
      <c r="H31" s="197"/>
      <c r="I31" s="198">
        <f t="shared" si="4"/>
        <v>-160.1</v>
      </c>
      <c r="J31" s="198"/>
      <c r="K31" s="198">
        <v>-705.98</v>
      </c>
      <c r="L31" s="198">
        <f t="shared" si="1"/>
        <v>545.88</v>
      </c>
      <c r="M31" s="255">
        <f>F31/K31</f>
        <v>0.2267769625201847</v>
      </c>
      <c r="N31" s="197">
        <f>E31-серпень!E31</f>
        <v>0</v>
      </c>
      <c r="O31" s="200">
        <f>F31-серпень!F31</f>
        <v>-9.870000000000005</v>
      </c>
      <c r="P31" s="201">
        <f t="shared" si="6"/>
        <v>-9.870000000000005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f>110699.84+1500-100</f>
        <v>112099.84</v>
      </c>
      <c r="F32" s="203">
        <v>112122.86</v>
      </c>
      <c r="G32" s="202">
        <f t="shared" si="0"/>
        <v>23.020000000004075</v>
      </c>
      <c r="H32" s="204">
        <f t="shared" si="3"/>
        <v>100.020535265706</v>
      </c>
      <c r="I32" s="205">
        <f t="shared" si="4"/>
        <v>-28877.14</v>
      </c>
      <c r="J32" s="205">
        <f t="shared" si="5"/>
        <v>79.51975886524822</v>
      </c>
      <c r="K32" s="219">
        <v>71777.4</v>
      </c>
      <c r="L32" s="219">
        <f>F32-K32</f>
        <v>40345.46000000001</v>
      </c>
      <c r="M32" s="411">
        <f>F32/K32</f>
        <v>1.5620914103882282</v>
      </c>
      <c r="N32" s="197">
        <f>E32-серпень!E32</f>
        <v>5584</v>
      </c>
      <c r="O32" s="200">
        <f>F32-серпень!F32</f>
        <v>5063.740000000005</v>
      </c>
      <c r="P32" s="207">
        <f t="shared" si="6"/>
        <v>-520.2599999999948</v>
      </c>
      <c r="Q32" s="205">
        <f>O32/N32*100</f>
        <v>90.6830229226362</v>
      </c>
      <c r="R32" s="113"/>
      <c r="S32" s="114"/>
      <c r="T32" s="186">
        <f t="shared" si="8"/>
        <v>28900.160000000003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f>27862.97+500</f>
        <v>28362.97</v>
      </c>
      <c r="F34" s="171">
        <v>28340.41</v>
      </c>
      <c r="G34" s="109">
        <f t="shared" si="0"/>
        <v>-22.56000000000131</v>
      </c>
      <c r="H34" s="111">
        <f t="shared" si="3"/>
        <v>99.92045966977365</v>
      </c>
      <c r="I34" s="110">
        <f t="shared" si="4"/>
        <v>-5876.59</v>
      </c>
      <c r="J34" s="110">
        <f t="shared" si="5"/>
        <v>82.82552532366952</v>
      </c>
      <c r="K34" s="142">
        <v>17739.76</v>
      </c>
      <c r="L34" s="142">
        <f t="shared" si="1"/>
        <v>10600.650000000001</v>
      </c>
      <c r="M34" s="264">
        <f t="shared" si="10"/>
        <v>1.597564454085061</v>
      </c>
      <c r="N34" s="111">
        <f>E34-серпень!E34</f>
        <v>1400</v>
      </c>
      <c r="O34" s="179">
        <f>F34-серпень!F34</f>
        <v>957.3299999999981</v>
      </c>
      <c r="P34" s="112">
        <f t="shared" si="6"/>
        <v>-442.6700000000019</v>
      </c>
      <c r="Q34" s="110">
        <f>O34/N34*100</f>
        <v>68.38071428571415</v>
      </c>
      <c r="R34" s="113"/>
      <c r="S34" s="114"/>
      <c r="T34" s="186">
        <f t="shared" si="8"/>
        <v>5854.029999999999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f>82820.08+1000-100</f>
        <v>83720.08</v>
      </c>
      <c r="F35" s="171">
        <v>83755.8</v>
      </c>
      <c r="G35" s="109">
        <f t="shared" si="0"/>
        <v>35.720000000001164</v>
      </c>
      <c r="H35" s="111">
        <f t="shared" si="3"/>
        <v>100.04266598885239</v>
      </c>
      <c r="I35" s="110">
        <f t="shared" si="4"/>
        <v>-22976.199999999997</v>
      </c>
      <c r="J35" s="110">
        <f t="shared" si="5"/>
        <v>78.47299778885433</v>
      </c>
      <c r="K35" s="142">
        <v>54015.97</v>
      </c>
      <c r="L35" s="142">
        <f t="shared" si="1"/>
        <v>29739.83</v>
      </c>
      <c r="M35" s="264">
        <f t="shared" si="10"/>
        <v>1.550574765203698</v>
      </c>
      <c r="N35" s="111">
        <f>E35-серпень!E35</f>
        <v>4184</v>
      </c>
      <c r="O35" s="179">
        <f>F35-серпень!F35</f>
        <v>4105</v>
      </c>
      <c r="P35" s="112">
        <f t="shared" si="6"/>
        <v>-79</v>
      </c>
      <c r="Q35" s="110">
        <f>O35/N35*100</f>
        <v>98.11185468451242</v>
      </c>
      <c r="R35" s="113"/>
      <c r="S35" s="114"/>
      <c r="T35" s="186">
        <f t="shared" si="8"/>
        <v>23011.92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22.84</v>
      </c>
      <c r="L36" s="142">
        <f t="shared" si="1"/>
        <v>3.580000000000002</v>
      </c>
      <c r="M36" s="264">
        <f t="shared" si="10"/>
        <v>1.1567425569176883</v>
      </c>
      <c r="N36" s="111">
        <f>E36-серпень!E36</f>
        <v>0</v>
      </c>
      <c r="O36" s="179">
        <f>F36-серпень!F36</f>
        <v>1.4200000000000017</v>
      </c>
      <c r="P36" s="112">
        <f t="shared" si="6"/>
        <v>1.4200000000000017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49125.03</v>
      </c>
      <c r="F38" s="191">
        <f>F39+F40+F41+F42+F43+F45+F47+F48+F49+F50+F51+F56+F57+F61+F44</f>
        <v>49446.89000000001</v>
      </c>
      <c r="G38" s="191">
        <f>G39+G40+G41+G42+G43+G45+G47+G48+G49+G50+G51+G56+G57+G61</f>
        <v>294.7100000000019</v>
      </c>
      <c r="H38" s="192">
        <f>F38/E38*100</f>
        <v>100.65518535052296</v>
      </c>
      <c r="I38" s="193">
        <f>F38-D38</f>
        <v>-12395.589999999997</v>
      </c>
      <c r="J38" s="193">
        <f>F38/D38*100</f>
        <v>79.95618869100981</v>
      </c>
      <c r="K38" s="191">
        <v>28244.63</v>
      </c>
      <c r="L38" s="191">
        <f t="shared" si="1"/>
        <v>21202.260000000006</v>
      </c>
      <c r="M38" s="250">
        <f t="shared" si="10"/>
        <v>1.7506651706890834</v>
      </c>
      <c r="N38" s="191">
        <f>N39+N40+N41+N42+N43+N45+N47+N48+N49+N50+N51+N56+N57+N61+N44</f>
        <v>6064</v>
      </c>
      <c r="O38" s="191">
        <f>O39+O40+O41+O42+O43+O45+O47+O48+O49+O50+O51+O56+O57+O61+O44</f>
        <v>6458.610000000001</v>
      </c>
      <c r="P38" s="191">
        <f>P39+P40+P41+P42+P43+P45+P47+P48+P49+P50+P51+P56+P57+P61</f>
        <v>394.61000000000104</v>
      </c>
      <c r="Q38" s="191">
        <f>O38/N38*100</f>
        <v>106.50742084432719</v>
      </c>
      <c r="R38" s="15" t="e">
        <f>#N/A</f>
        <v>#N/A</v>
      </c>
      <c r="S38" s="15" t="e">
        <f>#N/A</f>
        <v>#N/A</v>
      </c>
      <c r="T38" s="186">
        <f t="shared" si="8"/>
        <v>12717.450000000004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420.88</v>
      </c>
      <c r="G39" s="202">
        <f>F39-E39</f>
        <v>37.879999999999995</v>
      </c>
      <c r="H39" s="204">
        <f aca="true" t="shared" si="11" ref="H39:H62">F39/E39*100</f>
        <v>109.89033942558746</v>
      </c>
      <c r="I39" s="205">
        <f>F39-D39</f>
        <v>20.879999999999995</v>
      </c>
      <c r="J39" s="205">
        <f>F39/D39*100</f>
        <v>105.22</v>
      </c>
      <c r="K39" s="205">
        <v>-60.36</v>
      </c>
      <c r="L39" s="205">
        <f t="shared" si="1"/>
        <v>481.24</v>
      </c>
      <c r="M39" s="266">
        <f t="shared" si="10"/>
        <v>-6.972829688535454</v>
      </c>
      <c r="N39" s="204">
        <f>E39-серпень!E39</f>
        <v>3</v>
      </c>
      <c r="O39" s="208">
        <f>F39-серпень!F39</f>
        <v>4.0400000000000205</v>
      </c>
      <c r="P39" s="207">
        <f>O39-N39</f>
        <v>1.0400000000000205</v>
      </c>
      <c r="Q39" s="205">
        <f aca="true" t="shared" si="12" ref="Q39:Q62">O39/N39*100</f>
        <v>134.66666666666737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f>23237+929</f>
        <v>24166</v>
      </c>
      <c r="F40" s="196">
        <v>24166.13</v>
      </c>
      <c r="G40" s="202">
        <f aca="true" t="shared" si="13" ref="G40:G63">F40-E40</f>
        <v>0.13000000000101863</v>
      </c>
      <c r="H40" s="204">
        <f t="shared" si="11"/>
        <v>100.00053794587438</v>
      </c>
      <c r="I40" s="205">
        <f aca="true" t="shared" si="14" ref="I40:I63">F40-D40</f>
        <v>-5840.869999999999</v>
      </c>
      <c r="J40" s="205">
        <f>F40/D40*100</f>
        <v>80.53497517245977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3699</v>
      </c>
      <c r="O40" s="208">
        <f>F40-серпень!F40-0.01</f>
        <v>3605.9400000000005</v>
      </c>
      <c r="P40" s="207">
        <f aca="true" t="shared" si="15" ref="P40:P63">O40-N40</f>
        <v>-93.05999999999949</v>
      </c>
      <c r="Q40" s="205">
        <f t="shared" si="12"/>
        <v>97.48418491484186</v>
      </c>
      <c r="R40" s="42"/>
      <c r="S40" s="100"/>
      <c r="T40" s="186">
        <f t="shared" si="8"/>
        <v>5841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197.12</v>
      </c>
      <c r="G43" s="202">
        <f t="shared" si="13"/>
        <v>107.12</v>
      </c>
      <c r="H43" s="204">
        <f t="shared" si="11"/>
        <v>219.02222222222224</v>
      </c>
      <c r="I43" s="205">
        <f t="shared" si="14"/>
        <v>47.120000000000005</v>
      </c>
      <c r="J43" s="205">
        <f t="shared" si="16"/>
        <v>131.41333333333333</v>
      </c>
      <c r="K43" s="205">
        <v>117.11</v>
      </c>
      <c r="L43" s="205">
        <f t="shared" si="1"/>
        <v>80.01</v>
      </c>
      <c r="M43" s="266">
        <f t="shared" si="17"/>
        <v>1.6832038254632398</v>
      </c>
      <c r="N43" s="204">
        <f>E43-серпень!E43</f>
        <v>10</v>
      </c>
      <c r="O43" s="208">
        <f>F43-серпень!F43</f>
        <v>2</v>
      </c>
      <c r="P43" s="207">
        <f t="shared" si="15"/>
        <v>-8</v>
      </c>
      <c r="Q43" s="205">
        <f t="shared" si="12"/>
        <v>20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428.63</v>
      </c>
      <c r="G45" s="202">
        <f t="shared" si="13"/>
        <v>164.63</v>
      </c>
      <c r="H45" s="204">
        <f t="shared" si="11"/>
        <v>162.35984848484847</v>
      </c>
      <c r="I45" s="205">
        <f t="shared" si="14"/>
        <v>128.63</v>
      </c>
      <c r="J45" s="205">
        <f t="shared" si="16"/>
        <v>142.87666666666667</v>
      </c>
      <c r="K45" s="205">
        <v>0</v>
      </c>
      <c r="L45" s="205">
        <f t="shared" si="1"/>
        <v>428.63</v>
      </c>
      <c r="M45" s="266"/>
      <c r="N45" s="204">
        <f>E45-серпень!E45</f>
        <v>8</v>
      </c>
      <c r="O45" s="208">
        <f>F45-серпень!F45</f>
        <v>100.51999999999998</v>
      </c>
      <c r="P45" s="207">
        <f t="shared" si="15"/>
        <v>92.51999999999998</v>
      </c>
      <c r="Q45" s="205">
        <f t="shared" si="12"/>
        <v>1256.4999999999998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8067.74</v>
      </c>
      <c r="G47" s="202">
        <f t="shared" si="13"/>
        <v>218.71999999999935</v>
      </c>
      <c r="H47" s="204">
        <f t="shared" si="11"/>
        <v>102.78658991823181</v>
      </c>
      <c r="I47" s="205">
        <f t="shared" si="14"/>
        <v>-1832.2600000000002</v>
      </c>
      <c r="J47" s="205">
        <f t="shared" si="16"/>
        <v>81.49232323232323</v>
      </c>
      <c r="K47" s="205">
        <v>7605.46</v>
      </c>
      <c r="L47" s="205">
        <f t="shared" si="1"/>
        <v>462.27999999999975</v>
      </c>
      <c r="M47" s="266">
        <f t="shared" si="17"/>
        <v>1.0607826482553324</v>
      </c>
      <c r="N47" s="204">
        <f>E47-серпень!E47</f>
        <v>800</v>
      </c>
      <c r="O47" s="208">
        <f>F47-серпень!F47</f>
        <v>1005.0999999999995</v>
      </c>
      <c r="P47" s="207">
        <f t="shared" si="15"/>
        <v>205.09999999999945</v>
      </c>
      <c r="Q47" s="205">
        <f t="shared" si="12"/>
        <v>125.63749999999993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210.12</v>
      </c>
      <c r="G48" s="202">
        <f t="shared" si="13"/>
        <v>-439.88</v>
      </c>
      <c r="H48" s="204">
        <f t="shared" si="11"/>
        <v>32.32615384615385</v>
      </c>
      <c r="I48" s="205">
        <f t="shared" si="14"/>
        <v>-439.88</v>
      </c>
      <c r="J48" s="205">
        <f t="shared" si="16"/>
        <v>32.32615384615385</v>
      </c>
      <c r="K48" s="205">
        <v>0</v>
      </c>
      <c r="L48" s="205">
        <f t="shared" si="1"/>
        <v>210.12</v>
      </c>
      <c r="M48" s="266"/>
      <c r="N48" s="204">
        <f>E48-серпень!E48</f>
        <v>0</v>
      </c>
      <c r="O48" s="208">
        <f>F48-серпень!F48</f>
        <v>41.860000000000014</v>
      </c>
      <c r="P48" s="207">
        <f t="shared" si="15"/>
        <v>41.860000000000014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16.68</v>
      </c>
      <c r="G49" s="202">
        <f t="shared" si="13"/>
        <v>-15.32</v>
      </c>
      <c r="H49" s="204">
        <f t="shared" si="11"/>
        <v>52.125</v>
      </c>
      <c r="I49" s="205">
        <f t="shared" si="14"/>
        <v>-33.32</v>
      </c>
      <c r="J49" s="205">
        <f t="shared" si="16"/>
        <v>33.36</v>
      </c>
      <c r="K49" s="205">
        <v>0</v>
      </c>
      <c r="L49" s="205">
        <f t="shared" si="1"/>
        <v>16.68</v>
      </c>
      <c r="M49" s="266"/>
      <c r="N49" s="204">
        <f>E49-серпень!E49</f>
        <v>4</v>
      </c>
      <c r="O49" s="208">
        <f>F49-серпень!F49</f>
        <v>1.2400000000000002</v>
      </c>
      <c r="P49" s="207">
        <f t="shared" si="15"/>
        <v>-2.76</v>
      </c>
      <c r="Q49" s="205">
        <f t="shared" si="12"/>
        <v>31.000000000000007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4925.62</v>
      </c>
      <c r="G51" s="202">
        <f t="shared" si="13"/>
        <v>14.430000000000291</v>
      </c>
      <c r="H51" s="204">
        <f t="shared" si="11"/>
        <v>100.29381880969785</v>
      </c>
      <c r="I51" s="205">
        <f t="shared" si="14"/>
        <v>-2074.42</v>
      </c>
      <c r="J51" s="205">
        <f t="shared" si="16"/>
        <v>70.36559791086908</v>
      </c>
      <c r="K51" s="205">
        <v>5721.95</v>
      </c>
      <c r="L51" s="205">
        <f t="shared" si="1"/>
        <v>-796.3299999999999</v>
      </c>
      <c r="M51" s="266">
        <f t="shared" si="17"/>
        <v>0.8608289132201435</v>
      </c>
      <c r="N51" s="204">
        <f>E51-серпень!E51</f>
        <v>520</v>
      </c>
      <c r="O51" s="208">
        <f>F51-серпень!F51</f>
        <v>578.0100000000002</v>
      </c>
      <c r="P51" s="207">
        <f t="shared" si="15"/>
        <v>58.01000000000022</v>
      </c>
      <c r="Q51" s="205">
        <f t="shared" si="12"/>
        <v>111.15576923076927</v>
      </c>
      <c r="R51" s="42"/>
      <c r="S51" s="100"/>
      <c r="T51" s="186">
        <f t="shared" si="8"/>
        <v>2088.8500000000004</v>
      </c>
    </row>
    <row r="52" spans="1:20" s="6" customFormat="1" ht="15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643.11</v>
      </c>
      <c r="G52" s="36">
        <f t="shared" si="13"/>
        <v>-40.879999999999995</v>
      </c>
      <c r="H52" s="32">
        <f t="shared" si="11"/>
        <v>94.02330443427536</v>
      </c>
      <c r="I52" s="110">
        <f t="shared" si="14"/>
        <v>-326.89</v>
      </c>
      <c r="J52" s="110">
        <f t="shared" si="16"/>
        <v>66.3</v>
      </c>
      <c r="K52" s="110">
        <v>801.84</v>
      </c>
      <c r="L52" s="110">
        <f>F52-K52</f>
        <v>-158.73000000000002</v>
      </c>
      <c r="M52" s="115">
        <f t="shared" si="17"/>
        <v>0.8020428015564203</v>
      </c>
      <c r="N52" s="111">
        <f>E52-серпень!E52</f>
        <v>20</v>
      </c>
      <c r="O52" s="179">
        <f>F52-серпень!F52</f>
        <v>72.98000000000002</v>
      </c>
      <c r="P52" s="112">
        <f t="shared" si="15"/>
        <v>52.98000000000002</v>
      </c>
      <c r="Q52" s="132">
        <f t="shared" si="12"/>
        <v>364.9000000000001</v>
      </c>
      <c r="R52" s="42"/>
      <c r="S52" s="100"/>
      <c r="T52" s="186">
        <f t="shared" si="8"/>
        <v>286.01</v>
      </c>
    </row>
    <row r="53" spans="1:20" s="6" customFormat="1" ht="15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4282.22</v>
      </c>
      <c r="G55" s="36">
        <f t="shared" si="13"/>
        <v>60.05000000000018</v>
      </c>
      <c r="H55" s="32">
        <f t="shared" si="11"/>
        <v>101.42225443314695</v>
      </c>
      <c r="I55" s="110">
        <f t="shared" si="14"/>
        <v>-1741.7799999999997</v>
      </c>
      <c r="J55" s="110">
        <f t="shared" si="16"/>
        <v>71.08598937583001</v>
      </c>
      <c r="K55" s="110">
        <v>4875.29</v>
      </c>
      <c r="L55" s="110">
        <f>F55-K55</f>
        <v>-593.0699999999997</v>
      </c>
      <c r="M55" s="115">
        <f t="shared" si="17"/>
        <v>0.8783518518898363</v>
      </c>
      <c r="N55" s="111">
        <f>E55-серпень!E55</f>
        <v>500</v>
      </c>
      <c r="O55" s="179">
        <f>F55-серпень!F55</f>
        <v>505.0300000000002</v>
      </c>
      <c r="P55" s="112">
        <f t="shared" si="15"/>
        <v>5.0300000000002</v>
      </c>
      <c r="Q55" s="132">
        <f t="shared" si="12"/>
        <v>101.00600000000004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5154.13</v>
      </c>
      <c r="G57" s="202">
        <f t="shared" si="13"/>
        <v>516.1500000000005</v>
      </c>
      <c r="H57" s="204">
        <f t="shared" si="11"/>
        <v>111.12876726505938</v>
      </c>
      <c r="I57" s="205">
        <f t="shared" si="14"/>
        <v>4.130000000000109</v>
      </c>
      <c r="J57" s="205">
        <f t="shared" si="16"/>
        <v>100.08019417475728</v>
      </c>
      <c r="K57" s="205">
        <v>3571.45</v>
      </c>
      <c r="L57" s="205">
        <f aca="true" t="shared" si="18" ref="L57:L63">F57-K57</f>
        <v>1582.6800000000003</v>
      </c>
      <c r="M57" s="266">
        <f t="shared" si="17"/>
        <v>1.4431477411135534</v>
      </c>
      <c r="N57" s="204">
        <f>E57-серпень!E57</f>
        <v>370</v>
      </c>
      <c r="O57" s="208">
        <f>F57-серпень!F57</f>
        <v>552.3000000000002</v>
      </c>
      <c r="P57" s="207">
        <f t="shared" si="15"/>
        <v>182.30000000000018</v>
      </c>
      <c r="Q57" s="205">
        <f t="shared" si="12"/>
        <v>149.27027027027032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1002.35</v>
      </c>
      <c r="G59" s="202"/>
      <c r="H59" s="204"/>
      <c r="I59" s="205"/>
      <c r="J59" s="205"/>
      <c r="K59" s="206">
        <v>979.24</v>
      </c>
      <c r="L59" s="205">
        <f t="shared" si="18"/>
        <v>23.110000000000014</v>
      </c>
      <c r="M59" s="266">
        <f t="shared" si="17"/>
        <v>1.0235999346431928</v>
      </c>
      <c r="N59" s="204"/>
      <c r="O59" s="208">
        <f>F59-серпень!F59</f>
        <v>112.55000000000007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754995.14</v>
      </c>
      <c r="F64" s="191">
        <f>F8+F38+F62+F63</f>
        <v>757500.1000000001</v>
      </c>
      <c r="G64" s="191">
        <f>F64-E64</f>
        <v>2504.960000000079</v>
      </c>
      <c r="H64" s="192">
        <f>F64/E64*100</f>
        <v>100.33178491718505</v>
      </c>
      <c r="I64" s="193">
        <f>F64-D64</f>
        <v>-261444.63</v>
      </c>
      <c r="J64" s="193">
        <f>F64/D64*100</f>
        <v>74.34162793108513</v>
      </c>
      <c r="K64" s="193">
        <v>509138.63</v>
      </c>
      <c r="L64" s="193">
        <f>F64-K64</f>
        <v>248361.4700000001</v>
      </c>
      <c r="M64" s="267">
        <f>F64/K64</f>
        <v>1.4878071616761825</v>
      </c>
      <c r="N64" s="191">
        <f>N8+N38+N62+N63</f>
        <v>82559.13</v>
      </c>
      <c r="O64" s="191">
        <f>O8+O38+O62+O63</f>
        <v>80976.43999999999</v>
      </c>
      <c r="P64" s="195">
        <f>O64-N64</f>
        <v>-1582.6900000000169</v>
      </c>
      <c r="Q64" s="193">
        <f>O64/N64*100</f>
        <v>98.08296187229683</v>
      </c>
      <c r="R64" s="28">
        <f>O64-34768</f>
        <v>46208.43999999999</v>
      </c>
      <c r="S64" s="128">
        <f>O64/34768</f>
        <v>2.32905085135757</v>
      </c>
      <c r="T64" s="186">
        <f t="shared" si="8"/>
        <v>263949.5900000001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1553.95</v>
      </c>
      <c r="G73" s="202">
        <f aca="true" t="shared" si="19" ref="G73:G83">F73-E73</f>
        <v>-1146.05</v>
      </c>
      <c r="H73" s="204"/>
      <c r="I73" s="207">
        <f aca="true" t="shared" si="20" ref="I73:I83">F73-D73</f>
        <v>-2646.05</v>
      </c>
      <c r="J73" s="207">
        <f>F73/D73*100</f>
        <v>36.99880952380952</v>
      </c>
      <c r="K73" s="207">
        <v>593.1</v>
      </c>
      <c r="L73" s="207">
        <f aca="true" t="shared" si="21" ref="L73:L83">F73-K73</f>
        <v>960.85</v>
      </c>
      <c r="M73" s="254">
        <f>F73/K73</f>
        <v>2.6200472095768</v>
      </c>
      <c r="N73" s="204">
        <f>E73-серпень!E73</f>
        <v>500</v>
      </c>
      <c r="O73" s="208">
        <f>F73-серпень!F73</f>
        <v>18.779999999999973</v>
      </c>
      <c r="P73" s="207">
        <f aca="true" t="shared" si="22" ref="P73:P86">O73-N73</f>
        <v>-481.22</v>
      </c>
      <c r="Q73" s="207">
        <f>O73/N73*100</f>
        <v>3.755999999999995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6903.45</v>
      </c>
      <c r="G74" s="202">
        <f t="shared" si="19"/>
        <v>2211.24</v>
      </c>
      <c r="H74" s="204">
        <f>F74/E74*100</f>
        <v>147.12576802828517</v>
      </c>
      <c r="I74" s="207">
        <f t="shared" si="20"/>
        <v>-555.5500000000002</v>
      </c>
      <c r="J74" s="207">
        <f>F74/D74*100</f>
        <v>92.55195066362782</v>
      </c>
      <c r="K74" s="207">
        <v>3987.63</v>
      </c>
      <c r="L74" s="207">
        <f t="shared" si="21"/>
        <v>2915.8199999999997</v>
      </c>
      <c r="M74" s="254">
        <f>F74/K74</f>
        <v>1.7312162863655856</v>
      </c>
      <c r="N74" s="204">
        <f>E74-серпень!E74</f>
        <v>815</v>
      </c>
      <c r="O74" s="208">
        <f>F74-серпень!F74</f>
        <v>119.92000000000007</v>
      </c>
      <c r="P74" s="207">
        <f t="shared" si="22"/>
        <v>-695.0799999999999</v>
      </c>
      <c r="Q74" s="207">
        <f>O74/N74*100</f>
        <v>14.714110429447864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12116.42</v>
      </c>
      <c r="G75" s="202">
        <f t="shared" si="19"/>
        <v>9417.57</v>
      </c>
      <c r="H75" s="204">
        <f>F75/E75*100</f>
        <v>448.9475146821794</v>
      </c>
      <c r="I75" s="207">
        <f t="shared" si="20"/>
        <v>6116.42</v>
      </c>
      <c r="J75" s="207">
        <f>F75/D75*100</f>
        <v>201.94033333333334</v>
      </c>
      <c r="K75" s="207">
        <v>1859.08</v>
      </c>
      <c r="L75" s="207">
        <f t="shared" si="21"/>
        <v>10257.34</v>
      </c>
      <c r="M75" s="254">
        <f>F75/K75</f>
        <v>6.517427975127482</v>
      </c>
      <c r="N75" s="204">
        <f>E75-серпень!E75</f>
        <v>302</v>
      </c>
      <c r="O75" s="208">
        <f>F75-серпень!F75</f>
        <v>1639.2800000000007</v>
      </c>
      <c r="P75" s="207">
        <f t="shared" si="22"/>
        <v>1337.2800000000007</v>
      </c>
      <c r="Q75" s="207">
        <f>O75/N75*100</f>
        <v>542.8079470198678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10</v>
      </c>
      <c r="G76" s="202">
        <f t="shared" si="19"/>
        <v>1</v>
      </c>
      <c r="H76" s="204">
        <f>F76/E76*100</f>
        <v>111.11111111111111</v>
      </c>
      <c r="I76" s="207">
        <f t="shared" si="20"/>
        <v>-2</v>
      </c>
      <c r="J76" s="207">
        <f>F76/D76*100</f>
        <v>83.33333333333334</v>
      </c>
      <c r="K76" s="207"/>
      <c r="L76" s="207">
        <f t="shared" si="21"/>
        <v>10</v>
      </c>
      <c r="M76" s="254"/>
      <c r="N76" s="204">
        <f>E76-серпень!E76</f>
        <v>1</v>
      </c>
      <c r="O76" s="208">
        <f>F76-серпень!F76</f>
        <v>4</v>
      </c>
      <c r="P76" s="207">
        <f t="shared" si="22"/>
        <v>3</v>
      </c>
      <c r="Q76" s="207">
        <f>O76/N76*100</f>
        <v>400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20583.82</v>
      </c>
      <c r="G77" s="226">
        <f t="shared" si="19"/>
        <v>10483.76</v>
      </c>
      <c r="H77" s="227">
        <f>F77/E77*100</f>
        <v>203.7989873327485</v>
      </c>
      <c r="I77" s="228">
        <f t="shared" si="20"/>
        <v>2912.8199999999997</v>
      </c>
      <c r="J77" s="228">
        <f>F77/D77*100</f>
        <v>116.48361722596343</v>
      </c>
      <c r="K77" s="228">
        <v>6439.8</v>
      </c>
      <c r="L77" s="228">
        <f t="shared" si="21"/>
        <v>14144.02</v>
      </c>
      <c r="M77" s="260">
        <f>F77/K77</f>
        <v>3.1963446069753716</v>
      </c>
      <c r="N77" s="226">
        <f>N73+N74+N75+N76</f>
        <v>1618</v>
      </c>
      <c r="O77" s="230">
        <f>O73+O74+O75+O76</f>
        <v>1781.9800000000007</v>
      </c>
      <c r="P77" s="228">
        <f t="shared" si="22"/>
        <v>163.9800000000007</v>
      </c>
      <c r="Q77" s="228">
        <f>O77/N77*100</f>
        <v>110.13473423980227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E78-серпень!E78</f>
        <v>0</v>
      </c>
      <c r="O78" s="208">
        <f>F78-серпень!F78</f>
        <v>30.11</v>
      </c>
      <c r="P78" s="207">
        <f t="shared" si="22"/>
        <v>30.11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6825.67</v>
      </c>
      <c r="G80" s="202">
        <f t="shared" si="19"/>
        <v>-798.3299999999999</v>
      </c>
      <c r="H80" s="204">
        <f>F80/E80*100</f>
        <v>89.52872507869884</v>
      </c>
      <c r="I80" s="207">
        <f t="shared" si="20"/>
        <v>-2674.33</v>
      </c>
      <c r="J80" s="207">
        <f>F80/D80*100</f>
        <v>71.84915789473685</v>
      </c>
      <c r="K80" s="207">
        <v>0</v>
      </c>
      <c r="L80" s="207">
        <f t="shared" si="21"/>
        <v>6825.67</v>
      </c>
      <c r="M80" s="254"/>
      <c r="N80" s="204">
        <f>E80-серпень!E80</f>
        <v>0.3999999999996362</v>
      </c>
      <c r="O80" s="208">
        <f>F80-серпень!F80</f>
        <v>0.8400000000001455</v>
      </c>
      <c r="P80" s="207">
        <f>O80-N80</f>
        <v>0.4400000000005093</v>
      </c>
      <c r="Q80" s="231">
        <f>O80/N80*100</f>
        <v>210.00000000022737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</v>
      </c>
      <c r="L81" s="207">
        <f t="shared" si="21"/>
        <v>0.21999999999999997</v>
      </c>
      <c r="M81" s="254">
        <f>F81/K81</f>
        <v>1.22</v>
      </c>
      <c r="N81" s="204">
        <f>E81-серпень!E81</f>
        <v>0</v>
      </c>
      <c r="O81" s="208">
        <f>F81-серпень!F81</f>
        <v>0.1299999999999999</v>
      </c>
      <c r="P81" s="207">
        <f t="shared" si="22"/>
        <v>0.1299999999999999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6862.67</v>
      </c>
      <c r="G82" s="224">
        <f>G78+G81+G79+G80</f>
        <v>-761.3299999999999</v>
      </c>
      <c r="H82" s="227">
        <f>F82/E82*100</f>
        <v>90.01403462749214</v>
      </c>
      <c r="I82" s="228">
        <f t="shared" si="20"/>
        <v>-2638.33</v>
      </c>
      <c r="J82" s="228">
        <f>F82/D82*100</f>
        <v>72.23102831280917</v>
      </c>
      <c r="K82" s="228">
        <v>1.35</v>
      </c>
      <c r="L82" s="228">
        <f t="shared" si="21"/>
        <v>6861.32</v>
      </c>
      <c r="M82" s="268">
        <f>F82/K82</f>
        <v>5083.459259259259</v>
      </c>
      <c r="N82" s="226">
        <f>N78+N81+N79+N80</f>
        <v>0.3999999999996362</v>
      </c>
      <c r="O82" s="230">
        <f>O78+O81+O79+O80</f>
        <v>31.080000000000144</v>
      </c>
      <c r="P82" s="226">
        <f>P78+P81+P79+P80</f>
        <v>30.680000000000508</v>
      </c>
      <c r="Q82" s="228">
        <f>O82/N82*100</f>
        <v>7770.000000007103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26.87</v>
      </c>
      <c r="G83" s="202">
        <f t="shared" si="19"/>
        <v>-2.099999999999998</v>
      </c>
      <c r="H83" s="204">
        <f>F83/E83*100</f>
        <v>92.75112185018986</v>
      </c>
      <c r="I83" s="207">
        <f t="shared" si="20"/>
        <v>-16.13</v>
      </c>
      <c r="J83" s="207">
        <f>F83/D83*100</f>
        <v>62.48837209302326</v>
      </c>
      <c r="K83" s="207">
        <v>29.22</v>
      </c>
      <c r="L83" s="207">
        <f t="shared" si="21"/>
        <v>-2.349999999999998</v>
      </c>
      <c r="M83" s="254">
        <f>F83/K83</f>
        <v>0.9195756331279946</v>
      </c>
      <c r="N83" s="204">
        <f>E83-серпень!E83</f>
        <v>8.169999999999998</v>
      </c>
      <c r="O83" s="208">
        <f>F83-серпень!F83</f>
        <v>7.490000000000002</v>
      </c>
      <c r="P83" s="207">
        <f t="shared" si="22"/>
        <v>-0.6799999999999962</v>
      </c>
      <c r="Q83" s="207">
        <f>O83/N83</f>
        <v>0.9167686658506736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27469.54</v>
      </c>
      <c r="G85" s="233">
        <f>F85-E85</f>
        <v>9716.510000000002</v>
      </c>
      <c r="H85" s="234">
        <f>F85/E85*100</f>
        <v>154.73155850015462</v>
      </c>
      <c r="I85" s="235">
        <f>F85-D85</f>
        <v>254.54000000000087</v>
      </c>
      <c r="J85" s="235">
        <f>F85/D85*100</f>
        <v>100.93529303692816</v>
      </c>
      <c r="K85" s="235">
        <v>6418.88</v>
      </c>
      <c r="L85" s="235">
        <f>F85-K85</f>
        <v>21050.66</v>
      </c>
      <c r="M85" s="269">
        <f>F85/K85</f>
        <v>4.279491126177776</v>
      </c>
      <c r="N85" s="232">
        <f>N71+N83+N77+N82</f>
        <v>1626.5699999999997</v>
      </c>
      <c r="O85" s="232">
        <f>O71+O83+O77+O82+O84</f>
        <v>1820.5500000000009</v>
      </c>
      <c r="P85" s="235">
        <f t="shared" si="22"/>
        <v>193.98000000000116</v>
      </c>
      <c r="Q85" s="235">
        <f>O85/N85*100</f>
        <v>111.92570869990233</v>
      </c>
      <c r="R85" s="28">
        <f>O85-8104.96</f>
        <v>-6284.409999999999</v>
      </c>
      <c r="S85" s="101">
        <f>O85/8104.96</f>
        <v>0.22462171312381565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772748.17</v>
      </c>
      <c r="F86" s="232">
        <f>F64+F85</f>
        <v>784969.6400000001</v>
      </c>
      <c r="G86" s="233">
        <f>F86-E86</f>
        <v>12221.470000000088</v>
      </c>
      <c r="H86" s="234">
        <f>F86/E86*100</f>
        <v>101.58155922905647</v>
      </c>
      <c r="I86" s="235">
        <f>F86-D86</f>
        <v>-261190.08999999997</v>
      </c>
      <c r="J86" s="235">
        <f>F86/D86*100</f>
        <v>75.03344063912688</v>
      </c>
      <c r="K86" s="235">
        <f>K64+K85</f>
        <v>515557.51</v>
      </c>
      <c r="L86" s="235">
        <f>F86-K86</f>
        <v>269412.1300000001</v>
      </c>
      <c r="M86" s="269">
        <f>F86/K86</f>
        <v>1.5225646504499568</v>
      </c>
      <c r="N86" s="233">
        <f>N64+N85</f>
        <v>84185.70000000001</v>
      </c>
      <c r="O86" s="233">
        <f>O64+O85</f>
        <v>82796.98999999999</v>
      </c>
      <c r="P86" s="235">
        <f t="shared" si="22"/>
        <v>-1388.710000000021</v>
      </c>
      <c r="Q86" s="235">
        <f>O86/N86*100</f>
        <v>98.35042055836084</v>
      </c>
      <c r="R86" s="28">
        <f>O86-42872.96</f>
        <v>39924.02999999999</v>
      </c>
      <c r="S86" s="101">
        <f>O86/42872.96</f>
        <v>1.9312170188389137</v>
      </c>
      <c r="T86" s="186">
        <f t="shared" si="23"/>
        <v>273411.56000000006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42643</v>
      </c>
      <c r="D90" s="31">
        <v>7462.3</v>
      </c>
      <c r="G90" s="4" t="s">
        <v>59</v>
      </c>
      <c r="O90" s="443"/>
      <c r="P90" s="443"/>
      <c r="T90" s="186">
        <f t="shared" si="23"/>
        <v>7462.3</v>
      </c>
    </row>
    <row r="91" spans="3:16" ht="15">
      <c r="C91" s="87">
        <v>42642</v>
      </c>
      <c r="D91" s="31">
        <v>10407.9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42641</v>
      </c>
      <c r="D92" s="31">
        <v>6835.7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.75" customHeight="1">
      <c r="B94" s="451" t="s">
        <v>57</v>
      </c>
      <c r="C94" s="452"/>
      <c r="D94" s="148">
        <v>10150.57106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.75" customHeight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946</v>
      </c>
      <c r="F97" s="247">
        <f>F45+F48+F49</f>
        <v>655.43</v>
      </c>
      <c r="G97" s="73">
        <f>G45+G48+G49</f>
        <v>-290.57</v>
      </c>
      <c r="H97" s="74"/>
      <c r="I97" s="74"/>
      <c r="N97" s="31">
        <f>N45+N48+N49</f>
        <v>12</v>
      </c>
      <c r="O97" s="246">
        <f>O45+O48+O49</f>
        <v>143.62</v>
      </c>
      <c r="P97" s="31">
        <f>P45+P48+P49</f>
        <v>131.62</v>
      </c>
    </row>
    <row r="98" spans="4:16" ht="15">
      <c r="D98" s="83"/>
      <c r="I98" s="31"/>
      <c r="O98" s="449"/>
      <c r="P98" s="449"/>
    </row>
    <row r="99" spans="15:16" ht="15">
      <c r="O99" s="444"/>
      <c r="P99" s="444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" bottom="0" header="0" footer="0"/>
  <pageSetup fitToHeight="2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6" t="s">
        <v>196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193</v>
      </c>
      <c r="O3" s="429" t="s">
        <v>194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190</v>
      </c>
      <c r="F4" s="432" t="s">
        <v>34</v>
      </c>
      <c r="G4" s="434" t="s">
        <v>191</v>
      </c>
      <c r="H4" s="427" t="s">
        <v>192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197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195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889.8</v>
      </c>
      <c r="G59" s="202"/>
      <c r="H59" s="204"/>
      <c r="I59" s="205"/>
      <c r="J59" s="205"/>
      <c r="K59" s="206">
        <v>890.52</v>
      </c>
      <c r="L59" s="205">
        <f t="shared" si="18"/>
        <v>-0.7200000000000273</v>
      </c>
      <c r="M59" s="266">
        <f t="shared" si="17"/>
        <v>0.9991914836275434</v>
      </c>
      <c r="N59" s="236"/>
      <c r="O59" s="220">
        <f>F59-липень!F59</f>
        <v>158.91999999999996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43"/>
      <c r="P90" s="443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42611</v>
      </c>
      <c r="D92" s="31">
        <v>8603.9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" customHeight="1">
      <c r="B94" s="451" t="s">
        <v>57</v>
      </c>
      <c r="C94" s="452"/>
      <c r="D94" s="148">
        <f>'[1]залишки  (2)'!$G$6/1000</f>
        <v>61972.12151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.75" customHeight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 hidden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49"/>
      <c r="P98" s="449"/>
    </row>
    <row r="99" spans="15:16" ht="15">
      <c r="O99" s="444"/>
      <c r="P99" s="444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5748031496062992" right="0.15748031496062992" top="0" bottom="0" header="0" footer="0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1" sqref="G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6" t="s">
        <v>188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183</v>
      </c>
      <c r="O3" s="429" t="s">
        <v>184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179</v>
      </c>
      <c r="F4" s="432" t="s">
        <v>34</v>
      </c>
      <c r="G4" s="434" t="s">
        <v>180</v>
      </c>
      <c r="H4" s="427" t="s">
        <v>181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189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182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730.88</v>
      </c>
      <c r="G59" s="202"/>
      <c r="H59" s="204"/>
      <c r="I59" s="205"/>
      <c r="J59" s="205"/>
      <c r="K59" s="206">
        <v>683.21</v>
      </c>
      <c r="L59" s="205">
        <f t="shared" si="24"/>
        <v>47.66999999999996</v>
      </c>
      <c r="M59" s="266">
        <f t="shared" si="25"/>
        <v>1.0697735688880432</v>
      </c>
      <c r="N59" s="236"/>
      <c r="O59" s="220">
        <f>F59-червень!F58</f>
        <v>139.21000000000004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43"/>
      <c r="P90" s="443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42578</v>
      </c>
      <c r="D92" s="31">
        <v>8357.1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.75" customHeight="1">
      <c r="B94" s="451" t="s">
        <v>57</v>
      </c>
      <c r="C94" s="452"/>
      <c r="D94" s="148">
        <v>14372.98265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.75" customHeight="1" hidden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 hidden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49"/>
      <c r="P98" s="449"/>
    </row>
    <row r="99" spans="15:16" ht="15">
      <c r="O99" s="444"/>
      <c r="P99" s="444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7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13" sqref="K1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5" t="s">
        <v>177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26" t="s">
        <v>172</v>
      </c>
      <c r="N3" s="438" t="s">
        <v>173</v>
      </c>
      <c r="O3" s="438"/>
      <c r="P3" s="438"/>
      <c r="Q3" s="438"/>
      <c r="R3" s="438"/>
    </row>
    <row r="4" spans="1:18" ht="22.5" customHeight="1">
      <c r="A4" s="418"/>
      <c r="B4" s="420"/>
      <c r="C4" s="421"/>
      <c r="D4" s="422"/>
      <c r="E4" s="430" t="s">
        <v>170</v>
      </c>
      <c r="F4" s="453" t="s">
        <v>34</v>
      </c>
      <c r="G4" s="434" t="s">
        <v>171</v>
      </c>
      <c r="H4" s="427" t="s">
        <v>175</v>
      </c>
      <c r="I4" s="434" t="s">
        <v>122</v>
      </c>
      <c r="J4" s="427" t="s">
        <v>123</v>
      </c>
      <c r="K4" s="248" t="s">
        <v>65</v>
      </c>
      <c r="L4" s="283" t="s">
        <v>64</v>
      </c>
      <c r="M4" s="427"/>
      <c r="N4" s="436" t="s">
        <v>178</v>
      </c>
      <c r="O4" s="434" t="s">
        <v>50</v>
      </c>
      <c r="P4" s="438" t="s">
        <v>49</v>
      </c>
      <c r="Q4" s="284" t="s">
        <v>65</v>
      </c>
      <c r="R4" s="285" t="s">
        <v>64</v>
      </c>
    </row>
    <row r="5" spans="1:18" ht="67.5" customHeight="1">
      <c r="A5" s="419"/>
      <c r="B5" s="420"/>
      <c r="C5" s="421"/>
      <c r="D5" s="422"/>
      <c r="E5" s="431"/>
      <c r="F5" s="454"/>
      <c r="G5" s="435"/>
      <c r="H5" s="428"/>
      <c r="I5" s="435"/>
      <c r="J5" s="428"/>
      <c r="K5" s="439" t="s">
        <v>174</v>
      </c>
      <c r="L5" s="441"/>
      <c r="M5" s="428"/>
      <c r="N5" s="437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v>591.67</v>
      </c>
      <c r="G58" s="310"/>
      <c r="H58" s="311"/>
      <c r="I58" s="312"/>
      <c r="J58" s="312"/>
      <c r="K58" s="313">
        <f>F58-577.4</f>
        <v>14.269999999999982</v>
      </c>
      <c r="L58" s="313">
        <f>F58/577.4*100</f>
        <v>102.47142362313821</v>
      </c>
      <c r="M58" s="341"/>
      <c r="N58" s="342">
        <f>F58-травень!F58</f>
        <v>112.99999999999994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18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42"/>
      <c r="H88" s="442"/>
      <c r="I88" s="442"/>
      <c r="J88" s="442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43"/>
      <c r="O89" s="443"/>
    </row>
    <row r="90" spans="3:15" ht="15">
      <c r="C90" s="87">
        <v>42550</v>
      </c>
      <c r="D90" s="31">
        <v>11029.3</v>
      </c>
      <c r="F90" s="124" t="s">
        <v>59</v>
      </c>
      <c r="G90" s="444"/>
      <c r="H90" s="444"/>
      <c r="I90" s="131"/>
      <c r="J90" s="445"/>
      <c r="K90" s="445"/>
      <c r="L90" s="445"/>
      <c r="M90" s="445"/>
      <c r="N90" s="443"/>
      <c r="O90" s="443"/>
    </row>
    <row r="91" spans="3:15" ht="15.75" customHeight="1">
      <c r="C91" s="87">
        <v>42545</v>
      </c>
      <c r="D91" s="31">
        <v>6499.7</v>
      </c>
      <c r="F91" s="73"/>
      <c r="G91" s="444"/>
      <c r="H91" s="444"/>
      <c r="I91" s="131"/>
      <c r="J91" s="446"/>
      <c r="K91" s="446"/>
      <c r="L91" s="446"/>
      <c r="M91" s="446"/>
      <c r="N91" s="443"/>
      <c r="O91" s="443"/>
    </row>
    <row r="92" spans="3:13" ht="15.75" customHeight="1">
      <c r="C92" s="87"/>
      <c r="F92" s="73"/>
      <c r="G92" s="450"/>
      <c r="H92" s="450"/>
      <c r="I92" s="139"/>
      <c r="J92" s="445"/>
      <c r="K92" s="445"/>
      <c r="L92" s="445"/>
      <c r="M92" s="445"/>
    </row>
    <row r="93" spans="2:13" ht="18.75" customHeight="1">
      <c r="B93" s="451" t="s">
        <v>57</v>
      </c>
      <c r="C93" s="452"/>
      <c r="D93" s="148">
        <v>9447.89588</v>
      </c>
      <c r="E93" s="74"/>
      <c r="F93" s="140" t="s">
        <v>137</v>
      </c>
      <c r="G93" s="444"/>
      <c r="H93" s="444"/>
      <c r="I93" s="141"/>
      <c r="J93" s="445"/>
      <c r="K93" s="445"/>
      <c r="L93" s="445"/>
      <c r="M93" s="445"/>
    </row>
    <row r="94" spans="6:12" ht="9.75" customHeight="1">
      <c r="F94" s="73"/>
      <c r="G94" s="444"/>
      <c r="H94" s="444"/>
      <c r="I94" s="73"/>
      <c r="J94" s="74"/>
      <c r="K94" s="74"/>
      <c r="L94" s="74"/>
    </row>
    <row r="95" spans="2:12" ht="22.5" customHeight="1">
      <c r="B95" s="447" t="s">
        <v>60</v>
      </c>
      <c r="C95" s="448"/>
      <c r="D95" s="86">
        <v>0</v>
      </c>
      <c r="E95" s="56" t="s">
        <v>24</v>
      </c>
      <c r="F95" s="73"/>
      <c r="G95" s="444"/>
      <c r="H95" s="444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49"/>
      <c r="O97" s="449"/>
    </row>
    <row r="98" spans="14:15" ht="15">
      <c r="N98" s="444"/>
      <c r="O98" s="444"/>
    </row>
    <row r="99" ht="15">
      <c r="N99" s="31"/>
    </row>
    <row r="102" ht="15">
      <c r="E102" s="4" t="s">
        <v>59</v>
      </c>
    </row>
  </sheetData>
  <sheetProtection/>
  <mergeCells count="37">
    <mergeCell ref="N98:O98"/>
    <mergeCell ref="G92:H92"/>
    <mergeCell ref="J92:M92"/>
    <mergeCell ref="B93:C93"/>
    <mergeCell ref="G93:H93"/>
    <mergeCell ref="J93:M93"/>
    <mergeCell ref="G94:H94"/>
    <mergeCell ref="G91:H91"/>
    <mergeCell ref="J91:M91"/>
    <mergeCell ref="N91:O91"/>
    <mergeCell ref="B95:C95"/>
    <mergeCell ref="G95:H95"/>
    <mergeCell ref="N97:O97"/>
    <mergeCell ref="G88:J88"/>
    <mergeCell ref="N89:O89"/>
    <mergeCell ref="G90:H90"/>
    <mergeCell ref="J90:M90"/>
    <mergeCell ref="N90:O90"/>
    <mergeCell ref="G4:G5"/>
    <mergeCell ref="H4:H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Q5:R5"/>
    <mergeCell ref="E4:E5"/>
    <mergeCell ref="F4:F5"/>
    <mergeCell ref="I4:I5"/>
    <mergeCell ref="J4:J5"/>
    <mergeCell ref="N4:N5"/>
    <mergeCell ref="O4:O5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2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8" sqref="F5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6" t="s">
        <v>168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26" t="s">
        <v>162</v>
      </c>
      <c r="N3" s="429" t="s">
        <v>163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158</v>
      </c>
      <c r="F4" s="457" t="s">
        <v>34</v>
      </c>
      <c r="G4" s="434" t="s">
        <v>159</v>
      </c>
      <c r="H4" s="427" t="s">
        <v>160</v>
      </c>
      <c r="I4" s="434" t="s">
        <v>122</v>
      </c>
      <c r="J4" s="427" t="s">
        <v>123</v>
      </c>
      <c r="K4" s="91" t="s">
        <v>65</v>
      </c>
      <c r="L4" s="96" t="s">
        <v>64</v>
      </c>
      <c r="M4" s="427"/>
      <c r="N4" s="436" t="s">
        <v>169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78.75" customHeight="1">
      <c r="A5" s="419"/>
      <c r="B5" s="420"/>
      <c r="C5" s="421"/>
      <c r="D5" s="422"/>
      <c r="E5" s="431"/>
      <c r="F5" s="458"/>
      <c r="G5" s="435"/>
      <c r="H5" s="428"/>
      <c r="I5" s="435"/>
      <c r="J5" s="428"/>
      <c r="K5" s="439" t="s">
        <v>161</v>
      </c>
      <c r="L5" s="441"/>
      <c r="M5" s="428"/>
      <c r="N5" s="437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42"/>
      <c r="H88" s="442"/>
      <c r="I88" s="442"/>
      <c r="J88" s="442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43"/>
      <c r="O89" s="443"/>
    </row>
    <row r="90" spans="3:15" ht="15">
      <c r="C90" s="87">
        <v>42520</v>
      </c>
      <c r="D90" s="31">
        <v>8891</v>
      </c>
      <c r="F90" s="124" t="s">
        <v>59</v>
      </c>
      <c r="G90" s="444"/>
      <c r="H90" s="444"/>
      <c r="I90" s="131"/>
      <c r="J90" s="445"/>
      <c r="K90" s="445"/>
      <c r="L90" s="445"/>
      <c r="M90" s="445"/>
      <c r="N90" s="443"/>
      <c r="O90" s="443"/>
    </row>
    <row r="91" spans="3:15" ht="15.75" customHeight="1">
      <c r="C91" s="87">
        <v>42517</v>
      </c>
      <c r="D91" s="31">
        <v>7356.3</v>
      </c>
      <c r="F91" s="73"/>
      <c r="G91" s="444"/>
      <c r="H91" s="444"/>
      <c r="I91" s="131"/>
      <c r="J91" s="446"/>
      <c r="K91" s="446"/>
      <c r="L91" s="446"/>
      <c r="M91" s="446"/>
      <c r="N91" s="443"/>
      <c r="O91" s="443"/>
    </row>
    <row r="92" spans="3:13" ht="15.75" customHeight="1">
      <c r="C92" s="87"/>
      <c r="F92" s="73"/>
      <c r="G92" s="450"/>
      <c r="H92" s="450"/>
      <c r="I92" s="139"/>
      <c r="J92" s="445"/>
      <c r="K92" s="445"/>
      <c r="L92" s="445"/>
      <c r="M92" s="445"/>
    </row>
    <row r="93" spans="2:13" ht="18.75" customHeight="1">
      <c r="B93" s="451" t="s">
        <v>57</v>
      </c>
      <c r="C93" s="452"/>
      <c r="D93" s="148">
        <v>2811.04042</v>
      </c>
      <c r="E93" s="74"/>
      <c r="F93" s="140" t="s">
        <v>137</v>
      </c>
      <c r="G93" s="444"/>
      <c r="H93" s="444"/>
      <c r="I93" s="141"/>
      <c r="J93" s="445"/>
      <c r="K93" s="445"/>
      <c r="L93" s="445"/>
      <c r="M93" s="445"/>
    </row>
    <row r="94" spans="6:12" ht="9.75" customHeight="1">
      <c r="F94" s="73"/>
      <c r="G94" s="444"/>
      <c r="H94" s="444"/>
      <c r="I94" s="73"/>
      <c r="J94" s="74"/>
      <c r="K94" s="74"/>
      <c r="L94" s="74"/>
    </row>
    <row r="95" spans="2:12" ht="22.5" customHeight="1">
      <c r="B95" s="447" t="s">
        <v>60</v>
      </c>
      <c r="C95" s="448"/>
      <c r="D95" s="86">
        <v>0</v>
      </c>
      <c r="E95" s="56" t="s">
        <v>24</v>
      </c>
      <c r="F95" s="73"/>
      <c r="G95" s="444"/>
      <c r="H95" s="444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49"/>
      <c r="O97" s="449"/>
    </row>
    <row r="98" spans="14:15" ht="15">
      <c r="N98" s="444"/>
      <c r="O98" s="444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horizontalDpi="600" verticalDpi="600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D2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26" sqref="F2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6" t="s">
        <v>156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26" t="s">
        <v>153</v>
      </c>
      <c r="N3" s="429" t="s">
        <v>154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150</v>
      </c>
      <c r="F4" s="457" t="s">
        <v>34</v>
      </c>
      <c r="G4" s="434" t="s">
        <v>151</v>
      </c>
      <c r="H4" s="427" t="s">
        <v>152</v>
      </c>
      <c r="I4" s="434" t="s">
        <v>122</v>
      </c>
      <c r="J4" s="427" t="s">
        <v>123</v>
      </c>
      <c r="K4" s="91" t="s">
        <v>65</v>
      </c>
      <c r="L4" s="96" t="s">
        <v>64</v>
      </c>
      <c r="M4" s="427"/>
      <c r="N4" s="436" t="s">
        <v>157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78.75" customHeight="1">
      <c r="A5" s="419"/>
      <c r="B5" s="420"/>
      <c r="C5" s="421"/>
      <c r="D5" s="422"/>
      <c r="E5" s="431"/>
      <c r="F5" s="458"/>
      <c r="G5" s="435"/>
      <c r="H5" s="428"/>
      <c r="I5" s="435"/>
      <c r="J5" s="428"/>
      <c r="K5" s="439" t="s">
        <v>155</v>
      </c>
      <c r="L5" s="441"/>
      <c r="M5" s="428"/>
      <c r="N5" s="437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42"/>
      <c r="H84" s="442"/>
      <c r="I84" s="442"/>
      <c r="J84" s="442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43"/>
      <c r="O85" s="443"/>
    </row>
    <row r="86" spans="3:15" ht="15">
      <c r="C86" s="87">
        <v>42488</v>
      </c>
      <c r="D86" s="31">
        <v>11419.7</v>
      </c>
      <c r="F86" s="124" t="s">
        <v>59</v>
      </c>
      <c r="G86" s="444"/>
      <c r="H86" s="444"/>
      <c r="I86" s="131"/>
      <c r="J86" s="445"/>
      <c r="K86" s="445"/>
      <c r="L86" s="445"/>
      <c r="M86" s="445"/>
      <c r="N86" s="443"/>
      <c r="O86" s="443"/>
    </row>
    <row r="87" spans="3:15" ht="15.75" customHeight="1">
      <c r="C87" s="87">
        <v>42487</v>
      </c>
      <c r="D87" s="31">
        <v>7800.7</v>
      </c>
      <c r="F87" s="73"/>
      <c r="G87" s="444"/>
      <c r="H87" s="444"/>
      <c r="I87" s="131"/>
      <c r="J87" s="446"/>
      <c r="K87" s="446"/>
      <c r="L87" s="446"/>
      <c r="M87" s="446"/>
      <c r="N87" s="443"/>
      <c r="O87" s="443"/>
    </row>
    <row r="88" spans="3:13" ht="15.75" customHeight="1">
      <c r="C88" s="87"/>
      <c r="F88" s="73"/>
      <c r="G88" s="450"/>
      <c r="H88" s="450"/>
      <c r="I88" s="139"/>
      <c r="J88" s="445"/>
      <c r="K88" s="445"/>
      <c r="L88" s="445"/>
      <c r="M88" s="445"/>
    </row>
    <row r="89" spans="2:13" ht="18.75" customHeight="1">
      <c r="B89" s="451" t="s">
        <v>57</v>
      </c>
      <c r="C89" s="452"/>
      <c r="D89" s="148">
        <v>9087.9705</v>
      </c>
      <c r="E89" s="74"/>
      <c r="F89" s="140" t="s">
        <v>137</v>
      </c>
      <c r="G89" s="444"/>
      <c r="H89" s="444"/>
      <c r="I89" s="141"/>
      <c r="J89" s="445"/>
      <c r="K89" s="445"/>
      <c r="L89" s="445"/>
      <c r="M89" s="445"/>
    </row>
    <row r="90" spans="6:12" ht="9.75" customHeight="1">
      <c r="F90" s="73"/>
      <c r="G90" s="444"/>
      <c r="H90" s="444"/>
      <c r="I90" s="73"/>
      <c r="J90" s="74"/>
      <c r="K90" s="74"/>
      <c r="L90" s="74"/>
    </row>
    <row r="91" spans="2:12" ht="22.5" customHeight="1" hidden="1">
      <c r="B91" s="447" t="s">
        <v>60</v>
      </c>
      <c r="C91" s="448"/>
      <c r="D91" s="86">
        <v>0</v>
      </c>
      <c r="E91" s="56" t="s">
        <v>24</v>
      </c>
      <c r="F91" s="73"/>
      <c r="G91" s="444"/>
      <c r="H91" s="444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44"/>
      <c r="O92" s="444"/>
    </row>
    <row r="93" spans="4:15" ht="15">
      <c r="D93" s="83"/>
      <c r="I93" s="31"/>
      <c r="N93" s="449"/>
      <c r="O93" s="449"/>
    </row>
    <row r="94" spans="14:15" ht="15">
      <c r="N94" s="444"/>
      <c r="O94" s="444"/>
    </row>
    <row r="98" ht="15">
      <c r="E98" s="4" t="s">
        <v>59</v>
      </c>
    </row>
  </sheetData>
  <sheetProtection/>
  <mergeCells count="39"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  <mergeCell ref="G90:H90"/>
    <mergeCell ref="G86:H86"/>
    <mergeCell ref="J86:M86"/>
    <mergeCell ref="N86:O86"/>
    <mergeCell ref="G87:H87"/>
    <mergeCell ref="J87:M87"/>
    <mergeCell ref="N87:O87"/>
    <mergeCell ref="O4:O5"/>
    <mergeCell ref="P4:P5"/>
    <mergeCell ref="K5:L5"/>
    <mergeCell ref="Q5:R5"/>
    <mergeCell ref="G84:J84"/>
    <mergeCell ref="N85:O85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2016-12-29T09:10:34Z</cp:lastPrinted>
  <dcterms:created xsi:type="dcterms:W3CDTF">2003-07-28T11:27:56Z</dcterms:created>
  <dcterms:modified xsi:type="dcterms:W3CDTF">2016-12-29T09:21:37Z</dcterms:modified>
  <cp:category/>
  <cp:version/>
  <cp:contentType/>
  <cp:contentStatus/>
</cp:coreProperties>
</file>